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6.xml" ContentType="application/vnd.openxmlformats-officedocument.spreadsheetml.comments+xml"/>
  <Override PartName="/xl/comments9.xml" ContentType="application/vnd.openxmlformats-officedocument.spreadsheetml.comments+xml"/>
  <Override PartName="/xl/comments5.xml" ContentType="application/vnd.openxmlformats-officedocument.spreadsheetml.comments+xml"/>
  <Override PartName="/xl/comments10.xml" ContentType="application/vnd.openxmlformats-officedocument.spreadsheetml.comments+xml"/>
  <Override PartName="/xl/comments7.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xl/comments3.xml" ContentType="application/vnd.openxmlformats-officedocument.spreadsheetml.comments+xml"/>
  <Override PartName="/xl/comments2.xml" ContentType="application/vnd.openxmlformats-officedocument.spreadsheetml.comments+xml"/>
  <Override PartName="/xl/comments1.xml" ContentType="application/vnd.openxmlformats-officedocument.spreadsheetml.comments+xml"/>
  <Override PartName="/xl/comments8.xml" ContentType="application/vnd.openxmlformats-officedocument.spreadsheetml.comment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231"/>
  <workbookPr defaultThemeVersion="166925"/>
  <mc:AlternateContent xmlns:mc="http://schemas.openxmlformats.org/markup-compatibility/2006">
    <mc:Choice Requires="x15">
      <x15ac:absPath xmlns:x15ac="http://schemas.microsoft.com/office/spreadsheetml/2010/11/ac" url="https://d.docs.live.net/a2fb40ee25bb041e/Documents/WEBSITE/"/>
    </mc:Choice>
  </mc:AlternateContent>
  <xr:revisionPtr revIDLastSave="0" documentId="8_{0C389BDB-B22B-4002-A73A-C38EE651ED41}" xr6:coauthVersionLast="45" xr6:coauthVersionMax="45" xr10:uidLastSave="{00000000-0000-0000-0000-000000000000}"/>
  <bookViews>
    <workbookView xWindow="-120" yWindow="-120" windowWidth="20730" windowHeight="11160" tabRatio="707" firstSheet="19" activeTab="22" xr2:uid="{00000000-000D-0000-FFFF-FFFF00000000}"/>
  </bookViews>
  <sheets>
    <sheet name="Contents" sheetId="1" r:id="rId1"/>
    <sheet name="Data 1" sheetId="2" r:id="rId2"/>
    <sheet name="Total Fracking Leakage (2006)" sheetId="3" r:id="rId3"/>
    <sheet name="TFL (2006) (20yr GWP)" sheetId="4" r:id="rId4"/>
    <sheet name="Total Fracking Leakage (Maximum" sheetId="5" r:id="rId5"/>
    <sheet name="TFL (Maximum (20yr GWP)" sheetId="6" r:id="rId6"/>
    <sheet name="Total Fracking Leakage (Average" sheetId="7" r:id="rId7"/>
    <sheet name="TFL (Average) (20yr GWP)" sheetId="8" r:id="rId8"/>
    <sheet name="Total Fracking Leakage (67%)" sheetId="9" r:id="rId9"/>
    <sheet name="TFL (67%) (20yr GWP)" sheetId="10" r:id="rId10"/>
    <sheet name="PA Frack Wells" sheetId="11" r:id="rId11"/>
    <sheet name="Emission Calculations" sheetId="12" r:id="rId12"/>
    <sheet name="Emission Calculations (2)" sheetId="13" r:id="rId13"/>
    <sheet name="Emission Calculations (3)" sheetId="14" r:id="rId14"/>
    <sheet name="Emission Calculations (4)" sheetId="15" r:id="rId15"/>
    <sheet name="Guidance and Sources" sheetId="16" r:id="rId16"/>
    <sheet name="PA Frack Wells (84)" sheetId="17" r:id="rId17"/>
    <sheet name="Emission Calculations (84)" sheetId="18" r:id="rId18"/>
    <sheet name="Emission Calculations (84) (2)" sheetId="19" r:id="rId19"/>
    <sheet name="Emission Calculations (84) (3)" sheetId="20" r:id="rId20"/>
    <sheet name="Emission Calculations (84) (4)" sheetId="21" r:id="rId21"/>
    <sheet name="Guidance and Sources (84)" sheetId="22" r:id="rId22"/>
    <sheet name="Graphic" sheetId="23" r:id="rId2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58" i="17" l="1"/>
  <c r="C54" i="10"/>
  <c r="D76" i="17" s="1"/>
  <c r="D54" i="10"/>
  <c r="E54" i="10" s="1"/>
  <c r="F54" i="10" s="1"/>
  <c r="G54" i="10" s="1"/>
  <c r="H54" i="10" s="1"/>
  <c r="I54" i="10" s="1"/>
  <c r="C54" i="9"/>
  <c r="D54" i="9" s="1"/>
  <c r="E54" i="9" s="1"/>
  <c r="F54" i="9" s="1"/>
  <c r="G54" i="9" s="1"/>
  <c r="H54" i="9" s="1"/>
  <c r="I54" i="9" s="1"/>
  <c r="C54" i="6"/>
  <c r="D64" i="17" s="1"/>
  <c r="D54" i="6"/>
  <c r="E54" i="6" s="1"/>
  <c r="F54" i="6" s="1"/>
  <c r="G54" i="6" s="1"/>
  <c r="H54" i="6" s="1"/>
  <c r="I54" i="6" s="1"/>
  <c r="C54" i="5"/>
  <c r="D64" i="11" s="1"/>
  <c r="D54" i="5"/>
  <c r="E54" i="5" s="1"/>
  <c r="F54" i="5" s="1"/>
  <c r="G54" i="5" s="1"/>
  <c r="H54" i="5" s="1"/>
  <c r="I54" i="5" s="1"/>
  <c r="C54" i="4"/>
  <c r="D54" i="4" s="1"/>
  <c r="E54" i="4" s="1"/>
  <c r="F54" i="4" s="1"/>
  <c r="G54" i="4" s="1"/>
  <c r="H54" i="4" s="1"/>
  <c r="I54" i="4" s="1"/>
  <c r="C54" i="3"/>
  <c r="D54" i="3" s="1"/>
  <c r="E54" i="3" s="1"/>
  <c r="F54" i="3" s="1"/>
  <c r="G54" i="3" s="1"/>
  <c r="H54" i="3" s="1"/>
  <c r="I54" i="3" s="1"/>
  <c r="D58" i="11" l="1"/>
  <c r="D76" i="11"/>
  <c r="D23" i="21"/>
  <c r="D20" i="21"/>
  <c r="D16" i="21"/>
  <c r="D14" i="21"/>
  <c r="D13" i="21"/>
  <c r="D12" i="21"/>
  <c r="D7" i="21"/>
  <c r="D23" i="20"/>
  <c r="D20" i="20"/>
  <c r="D16" i="20"/>
  <c r="D14" i="20"/>
  <c r="D13" i="20"/>
  <c r="D12" i="20"/>
  <c r="D7" i="20"/>
  <c r="D23" i="19"/>
  <c r="D22" i="19"/>
  <c r="D20" i="19"/>
  <c r="D16" i="19"/>
  <c r="D14" i="19"/>
  <c r="D13" i="19"/>
  <c r="D12" i="19"/>
  <c r="D7" i="19"/>
  <c r="D23" i="18"/>
  <c r="D20" i="18"/>
  <c r="D16" i="18"/>
  <c r="D14" i="18"/>
  <c r="D13" i="18"/>
  <c r="D12" i="18"/>
  <c r="D7" i="18"/>
  <c r="D23" i="15"/>
  <c r="D20" i="15"/>
  <c r="D18" i="15"/>
  <c r="D16" i="15"/>
  <c r="D14" i="15"/>
  <c r="D13" i="15"/>
  <c r="D12" i="15"/>
  <c r="D7" i="15"/>
  <c r="D23" i="14"/>
  <c r="D20" i="14"/>
  <c r="D16" i="14"/>
  <c r="D14" i="14"/>
  <c r="D13" i="14"/>
  <c r="D12" i="14"/>
  <c r="D7" i="14"/>
  <c r="D23" i="13"/>
  <c r="D20" i="13"/>
  <c r="D16" i="13"/>
  <c r="D14" i="13"/>
  <c r="D13" i="13"/>
  <c r="D12" i="13"/>
  <c r="D7" i="13"/>
  <c r="D23" i="12"/>
  <c r="D20" i="12"/>
  <c r="D16" i="12"/>
  <c r="D14" i="12"/>
  <c r="D13" i="12"/>
  <c r="D12" i="12"/>
  <c r="D7" i="12"/>
  <c r="C63" i="22"/>
  <c r="B54" i="22"/>
  <c r="B55" i="22" s="1"/>
  <c r="D28" i="22"/>
  <c r="H27" i="22"/>
  <c r="D32" i="18" s="1"/>
  <c r="H26" i="22"/>
  <c r="D26" i="22" s="1"/>
  <c r="H25" i="22"/>
  <c r="D25" i="22" s="1"/>
  <c r="D23" i="22"/>
  <c r="D22" i="21" s="1"/>
  <c r="D22" i="22"/>
  <c r="H19" i="22"/>
  <c r="D27" i="20" s="1"/>
  <c r="D19" i="22"/>
  <c r="H13" i="22"/>
  <c r="H12" i="22"/>
  <c r="D28" i="21" s="1"/>
  <c r="D8" i="22"/>
  <c r="D7" i="22"/>
  <c r="D54" i="17"/>
  <c r="C63" i="16"/>
  <c r="B54" i="16"/>
  <c r="B55" i="16" s="1"/>
  <c r="D28" i="16"/>
  <c r="H27" i="16"/>
  <c r="D32" i="14" s="1"/>
  <c r="H26" i="16"/>
  <c r="D26" i="16" s="1"/>
  <c r="H25" i="16"/>
  <c r="D25" i="16" s="1"/>
  <c r="D23" i="16"/>
  <c r="D22" i="16"/>
  <c r="D18" i="13" s="1"/>
  <c r="H19" i="16"/>
  <c r="D27" i="14" s="1"/>
  <c r="D19" i="16"/>
  <c r="H13" i="16"/>
  <c r="H12" i="16"/>
  <c r="D8" i="16"/>
  <c r="D7" i="16"/>
  <c r="D54" i="11"/>
  <c r="C58" i="10"/>
  <c r="J54" i="10" s="1"/>
  <c r="C53" i="10"/>
  <c r="C52" i="10"/>
  <c r="D52" i="10" s="1"/>
  <c r="E52" i="10" s="1"/>
  <c r="F52" i="10" s="1"/>
  <c r="G52" i="10" s="1"/>
  <c r="H52" i="10" s="1"/>
  <c r="I52" i="10" s="1"/>
  <c r="J52" i="10" s="1"/>
  <c r="C51" i="10"/>
  <c r="D51" i="10" s="1"/>
  <c r="E51" i="10" s="1"/>
  <c r="F51" i="10" s="1"/>
  <c r="G51" i="10" s="1"/>
  <c r="H51" i="10" s="1"/>
  <c r="I51" i="10" s="1"/>
  <c r="J51" i="10" s="1"/>
  <c r="C50" i="10"/>
  <c r="D50" i="10" s="1"/>
  <c r="E50" i="10" s="1"/>
  <c r="F50" i="10" s="1"/>
  <c r="G50" i="10" s="1"/>
  <c r="H50" i="10" s="1"/>
  <c r="I50" i="10" s="1"/>
  <c r="J50" i="10" s="1"/>
  <c r="C49" i="10"/>
  <c r="D49" i="10" s="1"/>
  <c r="E49" i="10" s="1"/>
  <c r="F49" i="10" s="1"/>
  <c r="G49" i="10" s="1"/>
  <c r="H49" i="10" s="1"/>
  <c r="I49" i="10" s="1"/>
  <c r="J49" i="10" s="1"/>
  <c r="C48" i="10"/>
  <c r="D48" i="10" s="1"/>
  <c r="E48" i="10" s="1"/>
  <c r="F48" i="10" s="1"/>
  <c r="G48" i="10" s="1"/>
  <c r="H48" i="10" s="1"/>
  <c r="I48" i="10" s="1"/>
  <c r="J48" i="10" s="1"/>
  <c r="C47" i="10"/>
  <c r="D47" i="10" s="1"/>
  <c r="E47" i="10" s="1"/>
  <c r="F47" i="10" s="1"/>
  <c r="G47" i="10" s="1"/>
  <c r="H47" i="10" s="1"/>
  <c r="I47" i="10" s="1"/>
  <c r="J47" i="10" s="1"/>
  <c r="C46" i="10"/>
  <c r="D46" i="10" s="1"/>
  <c r="E46" i="10" s="1"/>
  <c r="F46" i="10" s="1"/>
  <c r="G46" i="10" s="1"/>
  <c r="H46" i="10" s="1"/>
  <c r="I46" i="10" s="1"/>
  <c r="J46" i="10" s="1"/>
  <c r="C45" i="10"/>
  <c r="D45" i="10" s="1"/>
  <c r="E45" i="10" s="1"/>
  <c r="F45" i="10" s="1"/>
  <c r="G45" i="10" s="1"/>
  <c r="H45" i="10" s="1"/>
  <c r="I45" i="10" s="1"/>
  <c r="J45" i="10" s="1"/>
  <c r="C44" i="10"/>
  <c r="D44" i="10" s="1"/>
  <c r="E44" i="10" s="1"/>
  <c r="F44" i="10" s="1"/>
  <c r="G44" i="10" s="1"/>
  <c r="H44" i="10" s="1"/>
  <c r="I44" i="10" s="1"/>
  <c r="J44" i="10" s="1"/>
  <c r="C58" i="9"/>
  <c r="J54" i="9" s="1"/>
  <c r="C53" i="9"/>
  <c r="C52" i="9"/>
  <c r="D52" i="9" s="1"/>
  <c r="E52" i="9" s="1"/>
  <c r="F52" i="9" s="1"/>
  <c r="G52" i="9" s="1"/>
  <c r="H52" i="9" s="1"/>
  <c r="I52" i="9" s="1"/>
  <c r="C51" i="9"/>
  <c r="D51" i="9" s="1"/>
  <c r="E51" i="9" s="1"/>
  <c r="F51" i="9" s="1"/>
  <c r="G51" i="9" s="1"/>
  <c r="H51" i="9" s="1"/>
  <c r="I51" i="9" s="1"/>
  <c r="C50" i="9"/>
  <c r="D50" i="9" s="1"/>
  <c r="E50" i="9" s="1"/>
  <c r="F50" i="9" s="1"/>
  <c r="G50" i="9" s="1"/>
  <c r="H50" i="9" s="1"/>
  <c r="I50" i="9" s="1"/>
  <c r="C49" i="9"/>
  <c r="D49" i="9" s="1"/>
  <c r="E49" i="9" s="1"/>
  <c r="F49" i="9" s="1"/>
  <c r="G49" i="9" s="1"/>
  <c r="H49" i="9" s="1"/>
  <c r="I49" i="9" s="1"/>
  <c r="C48" i="9"/>
  <c r="D48" i="9" s="1"/>
  <c r="E48" i="9" s="1"/>
  <c r="F48" i="9" s="1"/>
  <c r="G48" i="9" s="1"/>
  <c r="H48" i="9" s="1"/>
  <c r="I48" i="9" s="1"/>
  <c r="J48" i="9" s="1"/>
  <c r="C47" i="9"/>
  <c r="D47" i="9" s="1"/>
  <c r="E47" i="9" s="1"/>
  <c r="F47" i="9" s="1"/>
  <c r="G47" i="9" s="1"/>
  <c r="H47" i="9" s="1"/>
  <c r="I47" i="9" s="1"/>
  <c r="C46" i="9"/>
  <c r="D46" i="9" s="1"/>
  <c r="E46" i="9" s="1"/>
  <c r="F46" i="9" s="1"/>
  <c r="G46" i="9" s="1"/>
  <c r="H46" i="9" s="1"/>
  <c r="I46" i="9" s="1"/>
  <c r="J46" i="9" s="1"/>
  <c r="C45" i="9"/>
  <c r="D45" i="9" s="1"/>
  <c r="E45" i="9" s="1"/>
  <c r="F45" i="9" s="1"/>
  <c r="G45" i="9" s="1"/>
  <c r="H45" i="9" s="1"/>
  <c r="I45" i="9" s="1"/>
  <c r="J45" i="9" s="1"/>
  <c r="C44" i="9"/>
  <c r="D44" i="9" s="1"/>
  <c r="E44" i="9" s="1"/>
  <c r="F44" i="9" s="1"/>
  <c r="G44" i="9" s="1"/>
  <c r="H44" i="9" s="1"/>
  <c r="I44" i="9" s="1"/>
  <c r="C66" i="8"/>
  <c r="C58" i="8"/>
  <c r="C66" i="7"/>
  <c r="C51" i="7" s="1"/>
  <c r="D51" i="7" s="1"/>
  <c r="E51" i="7" s="1"/>
  <c r="F51" i="7" s="1"/>
  <c r="G51" i="7" s="1"/>
  <c r="H51" i="7" s="1"/>
  <c r="I51" i="7" s="1"/>
  <c r="J51" i="7" s="1"/>
  <c r="C58" i="7"/>
  <c r="C58" i="6"/>
  <c r="J54" i="6" s="1"/>
  <c r="C53" i="6"/>
  <c r="C52" i="6"/>
  <c r="D52" i="6" s="1"/>
  <c r="E52" i="6" s="1"/>
  <c r="F52" i="6" s="1"/>
  <c r="G52" i="6" s="1"/>
  <c r="H52" i="6" s="1"/>
  <c r="I52" i="6" s="1"/>
  <c r="C51" i="6"/>
  <c r="D51" i="6" s="1"/>
  <c r="E51" i="6" s="1"/>
  <c r="F51" i="6" s="1"/>
  <c r="G51" i="6" s="1"/>
  <c r="H51" i="6" s="1"/>
  <c r="I51" i="6" s="1"/>
  <c r="C50" i="6"/>
  <c r="D50" i="6" s="1"/>
  <c r="E50" i="6" s="1"/>
  <c r="F50" i="6" s="1"/>
  <c r="G50" i="6" s="1"/>
  <c r="H50" i="6" s="1"/>
  <c r="I50" i="6" s="1"/>
  <c r="C49" i="6"/>
  <c r="D49" i="6" s="1"/>
  <c r="E49" i="6" s="1"/>
  <c r="F49" i="6" s="1"/>
  <c r="G49" i="6" s="1"/>
  <c r="H49" i="6" s="1"/>
  <c r="I49" i="6" s="1"/>
  <c r="C48" i="6"/>
  <c r="D48" i="6" s="1"/>
  <c r="E48" i="6" s="1"/>
  <c r="F48" i="6" s="1"/>
  <c r="G48" i="6" s="1"/>
  <c r="H48" i="6" s="1"/>
  <c r="I48" i="6" s="1"/>
  <c r="C47" i="6"/>
  <c r="D47" i="6" s="1"/>
  <c r="E47" i="6" s="1"/>
  <c r="F47" i="6" s="1"/>
  <c r="G47" i="6" s="1"/>
  <c r="H47" i="6" s="1"/>
  <c r="I47" i="6" s="1"/>
  <c r="C46" i="6"/>
  <c r="D46" i="6" s="1"/>
  <c r="E46" i="6" s="1"/>
  <c r="F46" i="6" s="1"/>
  <c r="G46" i="6" s="1"/>
  <c r="H46" i="6" s="1"/>
  <c r="I46" i="6" s="1"/>
  <c r="J46" i="6" s="1"/>
  <c r="C45" i="6"/>
  <c r="D45" i="6" s="1"/>
  <c r="E45" i="6" s="1"/>
  <c r="F45" i="6" s="1"/>
  <c r="G45" i="6" s="1"/>
  <c r="H45" i="6" s="1"/>
  <c r="I45" i="6" s="1"/>
  <c r="C44" i="6"/>
  <c r="D44" i="6" s="1"/>
  <c r="E44" i="6" s="1"/>
  <c r="F44" i="6" s="1"/>
  <c r="G44" i="6" s="1"/>
  <c r="H44" i="6" s="1"/>
  <c r="I44" i="6" s="1"/>
  <c r="C58" i="5"/>
  <c r="J54" i="5" s="1"/>
  <c r="C53" i="5"/>
  <c r="C52" i="5"/>
  <c r="D52" i="5" s="1"/>
  <c r="E52" i="5" s="1"/>
  <c r="F52" i="5" s="1"/>
  <c r="G52" i="5" s="1"/>
  <c r="H52" i="5" s="1"/>
  <c r="I52" i="5" s="1"/>
  <c r="C51" i="5"/>
  <c r="D51" i="5" s="1"/>
  <c r="E51" i="5" s="1"/>
  <c r="F51" i="5" s="1"/>
  <c r="G51" i="5" s="1"/>
  <c r="H51" i="5" s="1"/>
  <c r="I51" i="5" s="1"/>
  <c r="J51" i="5" s="1"/>
  <c r="C50" i="5"/>
  <c r="D50" i="5" s="1"/>
  <c r="E50" i="5" s="1"/>
  <c r="F50" i="5" s="1"/>
  <c r="G50" i="5" s="1"/>
  <c r="H50" i="5" s="1"/>
  <c r="I50" i="5" s="1"/>
  <c r="J50" i="5" s="1"/>
  <c r="F49" i="5"/>
  <c r="G49" i="5" s="1"/>
  <c r="H49" i="5" s="1"/>
  <c r="I49" i="5" s="1"/>
  <c r="J49" i="5" s="1"/>
  <c r="C49" i="5"/>
  <c r="D49" i="5" s="1"/>
  <c r="E49" i="5" s="1"/>
  <c r="C48" i="5"/>
  <c r="D48" i="5" s="1"/>
  <c r="E48" i="5" s="1"/>
  <c r="F48" i="5" s="1"/>
  <c r="G48" i="5" s="1"/>
  <c r="H48" i="5" s="1"/>
  <c r="I48" i="5" s="1"/>
  <c r="C47" i="5"/>
  <c r="D47" i="5" s="1"/>
  <c r="E47" i="5" s="1"/>
  <c r="F47" i="5" s="1"/>
  <c r="G47" i="5" s="1"/>
  <c r="H47" i="5" s="1"/>
  <c r="I47" i="5" s="1"/>
  <c r="J47" i="5" s="1"/>
  <c r="C46" i="5"/>
  <c r="D46" i="5" s="1"/>
  <c r="E46" i="5" s="1"/>
  <c r="F46" i="5" s="1"/>
  <c r="G46" i="5" s="1"/>
  <c r="H46" i="5" s="1"/>
  <c r="I46" i="5" s="1"/>
  <c r="C45" i="5"/>
  <c r="D45" i="5" s="1"/>
  <c r="E45" i="5" s="1"/>
  <c r="F45" i="5" s="1"/>
  <c r="G45" i="5" s="1"/>
  <c r="H45" i="5" s="1"/>
  <c r="I45" i="5" s="1"/>
  <c r="C44" i="5"/>
  <c r="D44" i="5" s="1"/>
  <c r="E44" i="5" s="1"/>
  <c r="F44" i="5" s="1"/>
  <c r="G44" i="5" s="1"/>
  <c r="H44" i="5" s="1"/>
  <c r="I44" i="5" s="1"/>
  <c r="J44" i="5" s="1"/>
  <c r="C58" i="4"/>
  <c r="J54" i="4" s="1"/>
  <c r="C53" i="4"/>
  <c r="C52" i="4"/>
  <c r="D52" i="4" s="1"/>
  <c r="E52" i="4" s="1"/>
  <c r="F52" i="4" s="1"/>
  <c r="G52" i="4" s="1"/>
  <c r="H52" i="4" s="1"/>
  <c r="I52" i="4" s="1"/>
  <c r="C51" i="4"/>
  <c r="D51" i="4" s="1"/>
  <c r="E51" i="4" s="1"/>
  <c r="F51" i="4" s="1"/>
  <c r="G51" i="4" s="1"/>
  <c r="H51" i="4" s="1"/>
  <c r="I51" i="4" s="1"/>
  <c r="C50" i="4"/>
  <c r="D50" i="4" s="1"/>
  <c r="E50" i="4" s="1"/>
  <c r="F50" i="4" s="1"/>
  <c r="G50" i="4" s="1"/>
  <c r="H50" i="4" s="1"/>
  <c r="I50" i="4" s="1"/>
  <c r="C49" i="4"/>
  <c r="D49" i="4" s="1"/>
  <c r="E49" i="4" s="1"/>
  <c r="F49" i="4" s="1"/>
  <c r="G49" i="4" s="1"/>
  <c r="H49" i="4" s="1"/>
  <c r="I49" i="4" s="1"/>
  <c r="C48" i="4"/>
  <c r="D48" i="4" s="1"/>
  <c r="E48" i="4" s="1"/>
  <c r="F48" i="4" s="1"/>
  <c r="G48" i="4" s="1"/>
  <c r="H48" i="4" s="1"/>
  <c r="I48" i="4" s="1"/>
  <c r="C47" i="4"/>
  <c r="D47" i="4" s="1"/>
  <c r="E47" i="4" s="1"/>
  <c r="F47" i="4" s="1"/>
  <c r="G47" i="4" s="1"/>
  <c r="H47" i="4" s="1"/>
  <c r="I47" i="4" s="1"/>
  <c r="C46" i="4"/>
  <c r="D46" i="4" s="1"/>
  <c r="E46" i="4" s="1"/>
  <c r="F46" i="4" s="1"/>
  <c r="G46" i="4" s="1"/>
  <c r="H46" i="4" s="1"/>
  <c r="I46" i="4" s="1"/>
  <c r="J46" i="4" s="1"/>
  <c r="C45" i="4"/>
  <c r="D45" i="4" s="1"/>
  <c r="E45" i="4" s="1"/>
  <c r="F45" i="4" s="1"/>
  <c r="G45" i="4" s="1"/>
  <c r="H45" i="4" s="1"/>
  <c r="I45" i="4" s="1"/>
  <c r="J45" i="4" s="1"/>
  <c r="C44" i="4"/>
  <c r="D44" i="4" s="1"/>
  <c r="E44" i="4" s="1"/>
  <c r="F44" i="4" s="1"/>
  <c r="G44" i="4" s="1"/>
  <c r="H44" i="4" s="1"/>
  <c r="I44" i="4" s="1"/>
  <c r="C58" i="3"/>
  <c r="J54" i="3" s="1"/>
  <c r="C53" i="3"/>
  <c r="C52" i="3"/>
  <c r="D52" i="3" s="1"/>
  <c r="E52" i="3" s="1"/>
  <c r="F52" i="3" s="1"/>
  <c r="G52" i="3" s="1"/>
  <c r="H52" i="3" s="1"/>
  <c r="I52" i="3" s="1"/>
  <c r="C51" i="3"/>
  <c r="D51" i="3" s="1"/>
  <c r="E51" i="3" s="1"/>
  <c r="F51" i="3" s="1"/>
  <c r="G51" i="3" s="1"/>
  <c r="H51" i="3" s="1"/>
  <c r="I51" i="3" s="1"/>
  <c r="J51" i="3" s="1"/>
  <c r="C50" i="3"/>
  <c r="D50" i="3" s="1"/>
  <c r="E50" i="3" s="1"/>
  <c r="F50" i="3" s="1"/>
  <c r="G50" i="3" s="1"/>
  <c r="H50" i="3" s="1"/>
  <c r="I50" i="3" s="1"/>
  <c r="J50" i="3" s="1"/>
  <c r="C49" i="3"/>
  <c r="D49" i="3" s="1"/>
  <c r="E49" i="3" s="1"/>
  <c r="F49" i="3" s="1"/>
  <c r="G49" i="3" s="1"/>
  <c r="H49" i="3" s="1"/>
  <c r="I49" i="3" s="1"/>
  <c r="J49" i="3" s="1"/>
  <c r="C48" i="3"/>
  <c r="D48" i="3" s="1"/>
  <c r="E48" i="3" s="1"/>
  <c r="F48" i="3" s="1"/>
  <c r="G48" i="3" s="1"/>
  <c r="H48" i="3" s="1"/>
  <c r="I48" i="3" s="1"/>
  <c r="J48" i="3" s="1"/>
  <c r="C47" i="3"/>
  <c r="D47" i="3" s="1"/>
  <c r="E47" i="3" s="1"/>
  <c r="F47" i="3" s="1"/>
  <c r="G47" i="3" s="1"/>
  <c r="H47" i="3" s="1"/>
  <c r="I47" i="3" s="1"/>
  <c r="C46" i="3"/>
  <c r="D46" i="3" s="1"/>
  <c r="E46" i="3" s="1"/>
  <c r="F46" i="3" s="1"/>
  <c r="G46" i="3" s="1"/>
  <c r="H46" i="3" s="1"/>
  <c r="I46" i="3" s="1"/>
  <c r="J46" i="3" s="1"/>
  <c r="C45" i="3"/>
  <c r="D45" i="3" s="1"/>
  <c r="E45" i="3" s="1"/>
  <c r="F45" i="3" s="1"/>
  <c r="G45" i="3" s="1"/>
  <c r="H45" i="3" s="1"/>
  <c r="I45" i="3" s="1"/>
  <c r="J45" i="3" s="1"/>
  <c r="C44" i="3"/>
  <c r="D44" i="3" s="1"/>
  <c r="E44" i="3" s="1"/>
  <c r="F44" i="3" s="1"/>
  <c r="G44" i="3" s="1"/>
  <c r="H44" i="3" s="1"/>
  <c r="I44" i="3" s="1"/>
  <c r="C44" i="7" l="1"/>
  <c r="D44" i="7" s="1"/>
  <c r="E44" i="7" s="1"/>
  <c r="F44" i="7" s="1"/>
  <c r="G44" i="7" s="1"/>
  <c r="H44" i="7" s="1"/>
  <c r="I44" i="7" s="1"/>
  <c r="J44" i="7" s="1"/>
  <c r="J48" i="4"/>
  <c r="J45" i="5"/>
  <c r="J52" i="5"/>
  <c r="J49" i="6"/>
  <c r="C47" i="7"/>
  <c r="D47" i="7" s="1"/>
  <c r="E47" i="7" s="1"/>
  <c r="F47" i="7" s="1"/>
  <c r="G47" i="7" s="1"/>
  <c r="H47" i="7" s="1"/>
  <c r="I47" i="7" s="1"/>
  <c r="J47" i="7" s="1"/>
  <c r="C45" i="8"/>
  <c r="D45" i="8" s="1"/>
  <c r="E45" i="8" s="1"/>
  <c r="F45" i="8" s="1"/>
  <c r="G45" i="8" s="1"/>
  <c r="H45" i="8" s="1"/>
  <c r="I45" i="8" s="1"/>
  <c r="C54" i="8"/>
  <c r="J44" i="3"/>
  <c r="J52" i="3"/>
  <c r="J49" i="4"/>
  <c r="J46" i="5"/>
  <c r="C48" i="7"/>
  <c r="D48" i="7" s="1"/>
  <c r="E48" i="7" s="1"/>
  <c r="F48" i="7" s="1"/>
  <c r="G48" i="7" s="1"/>
  <c r="H48" i="7" s="1"/>
  <c r="I48" i="7" s="1"/>
  <c r="J48" i="7" s="1"/>
  <c r="J44" i="9"/>
  <c r="C50" i="7"/>
  <c r="D50" i="7" s="1"/>
  <c r="E50" i="7" s="1"/>
  <c r="F50" i="7" s="1"/>
  <c r="G50" i="7" s="1"/>
  <c r="H50" i="7" s="1"/>
  <c r="I50" i="7" s="1"/>
  <c r="J50" i="7" s="1"/>
  <c r="J47" i="6"/>
  <c r="J48" i="6"/>
  <c r="J44" i="6"/>
  <c r="C52" i="7"/>
  <c r="D52" i="7" s="1"/>
  <c r="E52" i="7" s="1"/>
  <c r="F52" i="7" s="1"/>
  <c r="G52" i="7" s="1"/>
  <c r="H52" i="7" s="1"/>
  <c r="I52" i="7" s="1"/>
  <c r="J52" i="7" s="1"/>
  <c r="C54" i="7"/>
  <c r="J47" i="4"/>
  <c r="C45" i="7"/>
  <c r="D45" i="7" s="1"/>
  <c r="E45" i="7" s="1"/>
  <c r="F45" i="7" s="1"/>
  <c r="G45" i="7" s="1"/>
  <c r="H45" i="7" s="1"/>
  <c r="I45" i="7" s="1"/>
  <c r="J45" i="7" s="1"/>
  <c r="J50" i="4"/>
  <c r="J51" i="4"/>
  <c r="J48" i="5"/>
  <c r="J52" i="6"/>
  <c r="J47" i="3"/>
  <c r="J44" i="4"/>
  <c r="J52" i="4"/>
  <c r="J45" i="6"/>
  <c r="C53" i="7"/>
  <c r="J51" i="9"/>
  <c r="D30" i="14"/>
  <c r="D30" i="15"/>
  <c r="D30" i="12"/>
  <c r="J50" i="6"/>
  <c r="J49" i="9"/>
  <c r="D53" i="10"/>
  <c r="E53" i="10" s="1"/>
  <c r="F53" i="10" s="1"/>
  <c r="G53" i="10" s="1"/>
  <c r="H53" i="10" s="1"/>
  <c r="I53" i="10" s="1"/>
  <c r="J53" i="10" s="1"/>
  <c r="H28" i="16"/>
  <c r="D33" i="15" s="1"/>
  <c r="D59" i="17"/>
  <c r="D65" i="11"/>
  <c r="J47" i="9"/>
  <c r="D18" i="12"/>
  <c r="D32" i="13"/>
  <c r="D32" i="15"/>
  <c r="J45" i="8"/>
  <c r="J51" i="6"/>
  <c r="D53" i="5"/>
  <c r="E53" i="5" s="1"/>
  <c r="F53" i="5" s="1"/>
  <c r="G53" i="5" s="1"/>
  <c r="H53" i="5" s="1"/>
  <c r="I53" i="5" s="1"/>
  <c r="J53" i="5" s="1"/>
  <c r="C48" i="8"/>
  <c r="D48" i="8" s="1"/>
  <c r="E48" i="8" s="1"/>
  <c r="F48" i="8" s="1"/>
  <c r="G48" i="8" s="1"/>
  <c r="H48" i="8" s="1"/>
  <c r="I48" i="8" s="1"/>
  <c r="J48" i="8" s="1"/>
  <c r="J50" i="9"/>
  <c r="J52" i="9"/>
  <c r="D27" i="13"/>
  <c r="D77" i="17"/>
  <c r="D32" i="12"/>
  <c r="D22" i="15"/>
  <c r="D22" i="12"/>
  <c r="D22" i="14"/>
  <c r="D22" i="13"/>
  <c r="D33" i="14"/>
  <c r="D33" i="13"/>
  <c r="D59" i="11"/>
  <c r="D53" i="3"/>
  <c r="E53" i="3" s="1"/>
  <c r="F53" i="3" s="1"/>
  <c r="G53" i="3" s="1"/>
  <c r="H53" i="3" s="1"/>
  <c r="I53" i="3" s="1"/>
  <c r="J53" i="3" s="1"/>
  <c r="D21" i="15"/>
  <c r="D21" i="13"/>
  <c r="D28" i="13"/>
  <c r="D28" i="12"/>
  <c r="D28" i="15"/>
  <c r="D9" i="14"/>
  <c r="D9" i="13"/>
  <c r="D9" i="15"/>
  <c r="D21" i="21"/>
  <c r="D21" i="20"/>
  <c r="D21" i="18"/>
  <c r="D18" i="21"/>
  <c r="D18" i="19"/>
  <c r="D18" i="18"/>
  <c r="D28" i="14"/>
  <c r="D18" i="20"/>
  <c r="D53" i="7"/>
  <c r="E53" i="7" s="1"/>
  <c r="F53" i="7" s="1"/>
  <c r="G53" i="7" s="1"/>
  <c r="H53" i="7" s="1"/>
  <c r="I53" i="7" s="1"/>
  <c r="J53" i="7" s="1"/>
  <c r="D9" i="20"/>
  <c r="D9" i="21"/>
  <c r="D9" i="19"/>
  <c r="D9" i="18"/>
  <c r="C53" i="8"/>
  <c r="C50" i="8"/>
  <c r="D50" i="8" s="1"/>
  <c r="E50" i="8" s="1"/>
  <c r="F50" i="8" s="1"/>
  <c r="G50" i="8" s="1"/>
  <c r="H50" i="8" s="1"/>
  <c r="I50" i="8" s="1"/>
  <c r="J50" i="8" s="1"/>
  <c r="C47" i="8"/>
  <c r="D47" i="8" s="1"/>
  <c r="E47" i="8" s="1"/>
  <c r="F47" i="8" s="1"/>
  <c r="G47" i="8" s="1"/>
  <c r="H47" i="8" s="1"/>
  <c r="I47" i="8" s="1"/>
  <c r="J47" i="8" s="1"/>
  <c r="C44" i="8"/>
  <c r="D44" i="8" s="1"/>
  <c r="E44" i="8" s="1"/>
  <c r="F44" i="8" s="1"/>
  <c r="G44" i="8" s="1"/>
  <c r="H44" i="8" s="1"/>
  <c r="I44" i="8" s="1"/>
  <c r="J44" i="8" s="1"/>
  <c r="C52" i="8"/>
  <c r="D52" i="8" s="1"/>
  <c r="E52" i="8" s="1"/>
  <c r="F52" i="8" s="1"/>
  <c r="G52" i="8" s="1"/>
  <c r="H52" i="8" s="1"/>
  <c r="I52" i="8" s="1"/>
  <c r="J52" i="8" s="1"/>
  <c r="C51" i="8"/>
  <c r="D51" i="8" s="1"/>
  <c r="E51" i="8" s="1"/>
  <c r="F51" i="8" s="1"/>
  <c r="G51" i="8" s="1"/>
  <c r="H51" i="8" s="1"/>
  <c r="I51" i="8" s="1"/>
  <c r="J51" i="8" s="1"/>
  <c r="D30" i="20"/>
  <c r="D30" i="21"/>
  <c r="D30" i="19"/>
  <c r="D28" i="18"/>
  <c r="D28" i="20"/>
  <c r="D30" i="18"/>
  <c r="D53" i="6"/>
  <c r="E53" i="6" s="1"/>
  <c r="F53" i="6" s="1"/>
  <c r="G53" i="6" s="1"/>
  <c r="H53" i="6" s="1"/>
  <c r="I53" i="6" s="1"/>
  <c r="J53" i="6" s="1"/>
  <c r="D65" i="17"/>
  <c r="C49" i="8"/>
  <c r="D49" i="8" s="1"/>
  <c r="E49" i="8" s="1"/>
  <c r="F49" i="8" s="1"/>
  <c r="G49" i="8" s="1"/>
  <c r="H49" i="8" s="1"/>
  <c r="I49" i="8" s="1"/>
  <c r="J49" i="8" s="1"/>
  <c r="D53" i="4"/>
  <c r="E53" i="4" s="1"/>
  <c r="F53" i="4" s="1"/>
  <c r="G53" i="4" s="1"/>
  <c r="H53" i="4" s="1"/>
  <c r="I53" i="4" s="1"/>
  <c r="J53" i="4" s="1"/>
  <c r="C46" i="8"/>
  <c r="D46" i="8" s="1"/>
  <c r="E46" i="8" s="1"/>
  <c r="F46" i="8" s="1"/>
  <c r="G46" i="8" s="1"/>
  <c r="H46" i="8" s="1"/>
  <c r="I46" i="8" s="1"/>
  <c r="J46" i="8" s="1"/>
  <c r="D9" i="12"/>
  <c r="D21" i="19"/>
  <c r="D21" i="14"/>
  <c r="D21" i="12"/>
  <c r="D53" i="9"/>
  <c r="E53" i="9" s="1"/>
  <c r="F53" i="9" s="1"/>
  <c r="G53" i="9" s="1"/>
  <c r="H53" i="9" s="1"/>
  <c r="I53" i="9" s="1"/>
  <c r="J53" i="9" s="1"/>
  <c r="D77" i="11"/>
  <c r="D27" i="19"/>
  <c r="D27" i="21"/>
  <c r="D27" i="18"/>
  <c r="D18" i="14"/>
  <c r="D32" i="21"/>
  <c r="D32" i="20"/>
  <c r="H28" i="22"/>
  <c r="D33" i="19" s="1"/>
  <c r="D32" i="19"/>
  <c r="C46" i="7"/>
  <c r="D46" i="7" s="1"/>
  <c r="E46" i="7" s="1"/>
  <c r="F46" i="7" s="1"/>
  <c r="G46" i="7" s="1"/>
  <c r="H46" i="7" s="1"/>
  <c r="I46" i="7" s="1"/>
  <c r="J46" i="7" s="1"/>
  <c r="C49" i="7"/>
  <c r="D49" i="7" s="1"/>
  <c r="E49" i="7" s="1"/>
  <c r="F49" i="7" s="1"/>
  <c r="G49" i="7" s="1"/>
  <c r="H49" i="7" s="1"/>
  <c r="I49" i="7" s="1"/>
  <c r="J49" i="7" s="1"/>
  <c r="D28" i="19"/>
  <c r="D27" i="12"/>
  <c r="D30" i="13"/>
  <c r="D27" i="15"/>
  <c r="D22" i="20"/>
  <c r="D22" i="18"/>
  <c r="D33" i="21" l="1"/>
  <c r="D70" i="17"/>
  <c r="D54" i="8"/>
  <c r="E54" i="8" s="1"/>
  <c r="F54" i="8" s="1"/>
  <c r="G54" i="8" s="1"/>
  <c r="H54" i="8" s="1"/>
  <c r="I54" i="8" s="1"/>
  <c r="J54" i="8" s="1"/>
  <c r="D36" i="21"/>
  <c r="D79" i="17" s="1"/>
  <c r="D33" i="12"/>
  <c r="D54" i="7"/>
  <c r="E54" i="7" s="1"/>
  <c r="F54" i="7" s="1"/>
  <c r="G54" i="7" s="1"/>
  <c r="H54" i="7" s="1"/>
  <c r="I54" i="7" s="1"/>
  <c r="J54" i="7" s="1"/>
  <c r="D70" i="11"/>
  <c r="D71" i="11" s="1"/>
  <c r="D36" i="14"/>
  <c r="D73" i="11" s="1"/>
  <c r="K52" i="7" s="1"/>
  <c r="D36" i="15"/>
  <c r="D79" i="11" s="1"/>
  <c r="D33" i="18"/>
  <c r="D36" i="18" s="1"/>
  <c r="D61" i="17" s="1"/>
  <c r="K54" i="4" s="1"/>
  <c r="D36" i="13"/>
  <c r="D67" i="11" s="1"/>
  <c r="K54" i="5" s="1"/>
  <c r="K45" i="10"/>
  <c r="K50" i="10"/>
  <c r="D71" i="17"/>
  <c r="D53" i="8"/>
  <c r="E53" i="8" s="1"/>
  <c r="F53" i="8" s="1"/>
  <c r="G53" i="8" s="1"/>
  <c r="H53" i="8" s="1"/>
  <c r="I53" i="8" s="1"/>
  <c r="J53" i="8" s="1"/>
  <c r="K48" i="10"/>
  <c r="K46" i="10"/>
  <c r="K44" i="10"/>
  <c r="K53" i="10"/>
  <c r="D33" i="20"/>
  <c r="D36" i="20" s="1"/>
  <c r="D73" i="17" s="1"/>
  <c r="D36" i="12"/>
  <c r="D61" i="11" s="1"/>
  <c r="K52" i="10"/>
  <c r="K51" i="10"/>
  <c r="D36" i="19"/>
  <c r="D67" i="17" s="1"/>
  <c r="K54" i="6" s="1"/>
  <c r="K47" i="10"/>
  <c r="K54" i="7" l="1"/>
  <c r="K49" i="10"/>
  <c r="K54" i="10"/>
  <c r="K54" i="8"/>
  <c r="K47" i="9"/>
  <c r="K54" i="9"/>
  <c r="K53" i="3"/>
  <c r="K54" i="3"/>
  <c r="K50" i="9"/>
  <c r="K50" i="7"/>
  <c r="K47" i="7"/>
  <c r="K51" i="7"/>
  <c r="K49" i="7"/>
  <c r="K46" i="7"/>
  <c r="K44" i="4"/>
  <c r="K53" i="4"/>
  <c r="K52" i="4"/>
  <c r="K49" i="4"/>
  <c r="K50" i="4"/>
  <c r="K48" i="4"/>
  <c r="K51" i="4"/>
  <c r="K45" i="4"/>
  <c r="K47" i="4"/>
  <c r="K46" i="4"/>
  <c r="K51" i="9"/>
  <c r="K49" i="9"/>
  <c r="K48" i="7"/>
  <c r="K45" i="9"/>
  <c r="K52" i="9"/>
  <c r="K44" i="7"/>
  <c r="K45" i="7"/>
  <c r="K46" i="9"/>
  <c r="K44" i="9"/>
  <c r="K53" i="9"/>
  <c r="K53" i="7"/>
  <c r="K48" i="9"/>
  <c r="K45" i="8"/>
  <c r="K48" i="8"/>
  <c r="K49" i="8"/>
  <c r="K46" i="8"/>
  <c r="K50" i="8"/>
  <c r="K47" i="8"/>
  <c r="K52" i="8"/>
  <c r="K51" i="8"/>
  <c r="K44" i="8"/>
  <c r="K53" i="8"/>
  <c r="K46" i="6"/>
  <c r="K50" i="6"/>
  <c r="K49" i="6"/>
  <c r="K51" i="6"/>
  <c r="K44" i="6"/>
  <c r="K52" i="6"/>
  <c r="K45" i="6"/>
  <c r="K48" i="6"/>
  <c r="K47" i="6"/>
  <c r="K46" i="5"/>
  <c r="K53" i="5"/>
  <c r="K45" i="5"/>
  <c r="K51" i="5"/>
  <c r="K49" i="5"/>
  <c r="K50" i="5"/>
  <c r="K47" i="5"/>
  <c r="K44" i="5"/>
  <c r="K52" i="5"/>
  <c r="K48" i="5"/>
  <c r="K49" i="3"/>
  <c r="K44" i="3"/>
  <c r="K46" i="3"/>
  <c r="K51" i="3"/>
  <c r="K47" i="3"/>
  <c r="K45" i="3"/>
  <c r="K48" i="3"/>
  <c r="K52" i="3"/>
  <c r="K50" i="3"/>
  <c r="K53"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author>
  </authors>
  <commentList>
    <comment ref="D3" authorId="0" shapeId="0" xr:uid="{00000000-0006-0000-0200-000001000000}">
      <text>
        <r>
          <rPr>
            <b/>
            <sz val="9"/>
            <color rgb="FF000000"/>
            <rFont val="Arial"/>
            <family val="2"/>
          </rPr>
          <t xml:space="preserve">Author:
</t>
        </r>
        <r>
          <rPr>
            <sz val="9"/>
            <color rgb="FF000000"/>
            <rFont val="Arial"/>
            <family val="2"/>
          </rPr>
          <t>CF of NG Consumed in MD and Produced by Fracking in PA</t>
        </r>
      </text>
    </comment>
    <comment ref="E3" authorId="0" shapeId="0" xr:uid="{00000000-0006-0000-0200-000002000000}">
      <text>
        <r>
          <rPr>
            <b/>
            <sz val="9"/>
            <color rgb="FF000000"/>
            <rFont val="Arial"/>
            <family val="2"/>
          </rPr>
          <t xml:space="preserve">Author:
</t>
        </r>
        <r>
          <rPr>
            <sz val="9"/>
            <color rgb="FF000000"/>
            <rFont val="Arial"/>
            <family val="2"/>
          </rPr>
          <t>Conversion of NG from Cubic Feet to Metric Tonnes</t>
        </r>
        <r>
          <rPr>
            <sz val="9"/>
            <color rgb="FF000000"/>
            <rFont val="Arial"/>
            <family val="2"/>
          </rPr>
          <t xml:space="preserve">
</t>
        </r>
      </text>
    </comment>
    <comment ref="F3" authorId="0" shapeId="0" xr:uid="{00000000-0006-0000-0200-000003000000}">
      <text>
        <r>
          <rPr>
            <b/>
            <sz val="9"/>
            <color rgb="FF000000"/>
            <rFont val="Arial"/>
            <family val="2"/>
          </rPr>
          <t xml:space="preserve">Author:
</t>
        </r>
        <r>
          <rPr>
            <sz val="9"/>
            <color rgb="FF000000"/>
            <rFont val="Arial"/>
            <family val="2"/>
          </rPr>
          <t>Metric Tonnes of NG Leaked using a Leakage Rate of 2.5%</t>
        </r>
      </text>
    </comment>
    <comment ref="G3" authorId="0" shapeId="0" xr:uid="{00000000-0006-0000-0200-000004000000}">
      <text>
        <r>
          <rPr>
            <b/>
            <sz val="9"/>
            <color rgb="FF000000"/>
            <rFont val="Arial"/>
            <family val="2"/>
          </rPr>
          <t xml:space="preserve">Author:
</t>
        </r>
        <r>
          <rPr>
            <sz val="9"/>
            <color rgb="FF000000"/>
            <rFont val="Arial"/>
            <family val="2"/>
          </rPr>
          <t>Metric Tonnes of METHANE Leaked using 98% or NG is Methane</t>
        </r>
        <r>
          <rPr>
            <sz val="9"/>
            <color rgb="FF000000"/>
            <rFont val="Arial"/>
            <family val="2"/>
          </rPr>
          <t xml:space="preserve">
</t>
        </r>
      </text>
    </comment>
    <comment ref="H3" authorId="0" shapeId="0" xr:uid="{00000000-0006-0000-0200-000005000000}">
      <text>
        <r>
          <rPr>
            <b/>
            <sz val="9"/>
            <color rgb="FF000000"/>
            <rFont val="Arial"/>
            <family val="2"/>
          </rPr>
          <t xml:space="preserve">Author:
</t>
        </r>
        <r>
          <rPr>
            <sz val="9"/>
            <color rgb="FF000000"/>
            <rFont val="Arial"/>
            <family val="2"/>
          </rPr>
          <t>Conversion of Metric Tonnes of Methane to Metric Tonnes of CO2E using Methane GWP of 25</t>
        </r>
      </text>
    </comment>
    <comment ref="I3" authorId="0" shapeId="0" xr:uid="{00000000-0006-0000-0200-000006000000}">
      <text>
        <r>
          <rPr>
            <b/>
            <sz val="9"/>
            <color rgb="FF000000"/>
            <rFont val="Arial"/>
            <family val="2"/>
          </rPr>
          <t xml:space="preserve">Author:
</t>
        </r>
        <r>
          <rPr>
            <sz val="9"/>
            <color rgb="FF000000"/>
            <rFont val="Arial"/>
            <family val="2"/>
          </rPr>
          <t>Conversion of Metric Tonnes to Million Metric Tonnes Divide by 1,000,000</t>
        </r>
      </text>
    </comment>
    <comment ref="J3" authorId="0" shapeId="0" xr:uid="{00000000-0006-0000-0200-000007000000}">
      <text>
        <r>
          <rPr>
            <b/>
            <sz val="9"/>
            <color rgb="FF000000"/>
            <rFont val="Arial"/>
            <family val="2"/>
          </rPr>
          <t xml:space="preserve">Author:
</t>
        </r>
        <r>
          <rPr>
            <sz val="9"/>
            <color rgb="FF000000"/>
            <rFont val="Arial"/>
            <family val="2"/>
          </rPr>
          <t>Conversion of Metric Tonnes to Million Metric Tonnes Divide by 1,000,000</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E</author>
  </authors>
  <commentList>
    <comment ref="D1" authorId="0" shapeId="0" xr:uid="{00000000-0006-0000-1500-000001000000}">
      <text>
        <r>
          <rPr>
            <b/>
            <sz val="9"/>
            <color rgb="FF000000"/>
            <rFont val="Arial"/>
            <family val="2"/>
          </rPr>
          <t xml:space="preserve">Author:
</t>
        </r>
        <r>
          <rPr>
            <sz val="9"/>
            <color rgb="FF000000"/>
            <rFont val="Arial"/>
            <family val="2"/>
          </rPr>
          <t>Link:</t>
        </r>
        <r>
          <rPr>
            <sz val="9"/>
            <color rgb="FF000000"/>
            <rFont val="Arial"/>
            <family val="2"/>
          </rPr>
          <t xml:space="preserve">
https://www3.epa.gov/carbon-footprint-calculator/tool/userarchiveversion/documents/SubW_Screening_Tool_Onshore_Production.xls</t>
        </r>
      </text>
    </comment>
    <comment ref="D7" authorId="0" shapeId="0" xr:uid="{00000000-0006-0000-1500-000002000000}">
      <text>
        <r>
          <rPr>
            <b/>
            <sz val="9"/>
            <color rgb="FF000000"/>
            <rFont val="Arial"/>
            <family val="2"/>
          </rPr>
          <t xml:space="preserve">Author:
</t>
        </r>
        <r>
          <rPr>
            <sz val="9"/>
            <color rgb="FF000000"/>
            <rFont val="Arial"/>
            <family val="2"/>
          </rPr>
          <t xml:space="preserve">
</t>
        </r>
        <r>
          <rPr>
            <sz val="9"/>
            <color rgb="FF000000"/>
            <rFont val="Arial"/>
            <family val="2"/>
          </rPr>
          <t xml:space="preserve">
(525000+455015) = well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E</author>
  </authors>
  <commentList>
    <comment ref="D3" authorId="0" shapeId="0" xr:uid="{00000000-0006-0000-0300-000001000000}">
      <text>
        <r>
          <rPr>
            <b/>
            <sz val="9"/>
            <color rgb="FF000000"/>
            <rFont val="Arial"/>
            <family val="2"/>
          </rPr>
          <t xml:space="preserve">Author:
</t>
        </r>
        <r>
          <rPr>
            <sz val="9"/>
            <color rgb="FF000000"/>
            <rFont val="Arial"/>
            <family val="2"/>
          </rPr>
          <t>CF of NG Consumed in MD and Produced by Fracking in PA</t>
        </r>
      </text>
    </comment>
    <comment ref="E3" authorId="0" shapeId="0" xr:uid="{00000000-0006-0000-0300-000002000000}">
      <text>
        <r>
          <rPr>
            <b/>
            <sz val="9"/>
            <color rgb="FF000000"/>
            <rFont val="Arial"/>
            <family val="2"/>
          </rPr>
          <t xml:space="preserve">Author:
</t>
        </r>
        <r>
          <rPr>
            <sz val="9"/>
            <color rgb="FF000000"/>
            <rFont val="Arial"/>
            <family val="2"/>
          </rPr>
          <t>Conversion of NG from Cubic Feet to Metric Tonnes</t>
        </r>
        <r>
          <rPr>
            <sz val="9"/>
            <color rgb="FF000000"/>
            <rFont val="Arial"/>
            <family val="2"/>
          </rPr>
          <t xml:space="preserve">
</t>
        </r>
      </text>
    </comment>
    <comment ref="F3" authorId="0" shapeId="0" xr:uid="{00000000-0006-0000-0300-000003000000}">
      <text>
        <r>
          <rPr>
            <b/>
            <sz val="9"/>
            <color rgb="FF000000"/>
            <rFont val="Arial"/>
            <family val="2"/>
          </rPr>
          <t xml:space="preserve">Author:
</t>
        </r>
        <r>
          <rPr>
            <sz val="9"/>
            <color rgb="FF000000"/>
            <rFont val="Arial"/>
            <family val="2"/>
          </rPr>
          <t>Metric Tonnes of NG Leaked using a Leakage Rate of 2.5%</t>
        </r>
      </text>
    </comment>
    <comment ref="G3" authorId="0" shapeId="0" xr:uid="{00000000-0006-0000-0300-000004000000}">
      <text>
        <r>
          <rPr>
            <b/>
            <sz val="9"/>
            <color rgb="FF000000"/>
            <rFont val="Arial"/>
            <family val="2"/>
          </rPr>
          <t xml:space="preserve">Author:
</t>
        </r>
        <r>
          <rPr>
            <sz val="9"/>
            <color rgb="FF000000"/>
            <rFont val="Arial"/>
            <family val="2"/>
          </rPr>
          <t>Metric Tonnes of METHANE Leaked using 98% or NG is Methane</t>
        </r>
        <r>
          <rPr>
            <sz val="9"/>
            <color rgb="FF000000"/>
            <rFont val="Arial"/>
            <family val="2"/>
          </rPr>
          <t xml:space="preserve">
</t>
        </r>
      </text>
    </comment>
    <comment ref="H3" authorId="0" shapeId="0" xr:uid="{00000000-0006-0000-0300-000005000000}">
      <text>
        <r>
          <rPr>
            <b/>
            <sz val="9"/>
            <color rgb="FF000000"/>
            <rFont val="Arial"/>
            <family val="2"/>
          </rPr>
          <t xml:space="preserve">Author:
</t>
        </r>
        <r>
          <rPr>
            <sz val="9"/>
            <color rgb="FF000000"/>
            <rFont val="Arial"/>
            <family val="2"/>
          </rPr>
          <t>Conversion of Metric Tonnes of Methane to Metric Tonnes of CO2E using Methane GWP of 25</t>
        </r>
      </text>
    </comment>
    <comment ref="I3" authorId="0" shapeId="0" xr:uid="{00000000-0006-0000-0300-000006000000}">
      <text>
        <r>
          <rPr>
            <b/>
            <sz val="9"/>
            <color rgb="FF000000"/>
            <rFont val="Arial"/>
            <family val="2"/>
          </rPr>
          <t xml:space="preserve">Author:
</t>
        </r>
        <r>
          <rPr>
            <sz val="9"/>
            <color rgb="FF000000"/>
            <rFont val="Arial"/>
            <family val="2"/>
          </rPr>
          <t>Conversion of Metric Tonnes to Million Metric Tonnes Divide by 1,000,000</t>
        </r>
      </text>
    </comment>
    <comment ref="J3" authorId="0" shapeId="0" xr:uid="{00000000-0006-0000-0300-000007000000}">
      <text>
        <r>
          <rPr>
            <b/>
            <sz val="9"/>
            <color rgb="FF000000"/>
            <rFont val="Arial"/>
            <family val="2"/>
          </rPr>
          <t xml:space="preserve">Author:
</t>
        </r>
        <r>
          <rPr>
            <sz val="9"/>
            <color rgb="FF000000"/>
            <rFont val="Arial"/>
            <family val="2"/>
          </rPr>
          <t>Conversion of Metric Tonnes to Million Metric Tonnes Divide by 1,000,000</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E</author>
  </authors>
  <commentList>
    <comment ref="D3" authorId="0" shapeId="0" xr:uid="{00000000-0006-0000-0400-000001000000}">
      <text>
        <r>
          <rPr>
            <b/>
            <sz val="9"/>
            <color rgb="FF000000"/>
            <rFont val="Arial"/>
            <family val="2"/>
          </rPr>
          <t xml:space="preserve">Author:
</t>
        </r>
        <r>
          <rPr>
            <sz val="9"/>
            <color rgb="FF000000"/>
            <rFont val="Arial"/>
            <family val="2"/>
          </rPr>
          <t>CF of NG Consumed in MD and Produced by Fracking in PA</t>
        </r>
      </text>
    </comment>
    <comment ref="E3" authorId="0" shapeId="0" xr:uid="{00000000-0006-0000-0400-000002000000}">
      <text>
        <r>
          <rPr>
            <b/>
            <sz val="9"/>
            <color rgb="FF000000"/>
            <rFont val="Arial"/>
            <family val="2"/>
          </rPr>
          <t xml:space="preserve">Author:
</t>
        </r>
        <r>
          <rPr>
            <sz val="9"/>
            <color rgb="FF000000"/>
            <rFont val="Arial"/>
            <family val="2"/>
          </rPr>
          <t>Conversion of NG from Cubic Feet to Metric Tonnes</t>
        </r>
        <r>
          <rPr>
            <sz val="9"/>
            <color rgb="FF000000"/>
            <rFont val="Arial"/>
            <family val="2"/>
          </rPr>
          <t xml:space="preserve">
</t>
        </r>
      </text>
    </comment>
    <comment ref="F3" authorId="0" shapeId="0" xr:uid="{00000000-0006-0000-0400-000003000000}">
      <text>
        <r>
          <rPr>
            <b/>
            <sz val="9"/>
            <color rgb="FF000000"/>
            <rFont val="Arial"/>
            <family val="2"/>
          </rPr>
          <t xml:space="preserve">Author:
</t>
        </r>
        <r>
          <rPr>
            <sz val="9"/>
            <color rgb="FF000000"/>
            <rFont val="Arial"/>
            <family val="2"/>
          </rPr>
          <t>Metric Tonnes of NG Leaked using a Leakage Rate of 2.5%</t>
        </r>
      </text>
    </comment>
    <comment ref="G3" authorId="0" shapeId="0" xr:uid="{00000000-0006-0000-0400-000004000000}">
      <text>
        <r>
          <rPr>
            <b/>
            <sz val="9"/>
            <color rgb="FF000000"/>
            <rFont val="Arial"/>
            <family val="2"/>
          </rPr>
          <t xml:space="preserve">Author:
</t>
        </r>
        <r>
          <rPr>
            <sz val="9"/>
            <color rgb="FF000000"/>
            <rFont val="Arial"/>
            <family val="2"/>
          </rPr>
          <t>Metric Tonnes of METHANE Leaked using 98% or NG is Methane</t>
        </r>
        <r>
          <rPr>
            <sz val="9"/>
            <color rgb="FF000000"/>
            <rFont val="Arial"/>
            <family val="2"/>
          </rPr>
          <t xml:space="preserve">
</t>
        </r>
      </text>
    </comment>
    <comment ref="H3" authorId="0" shapeId="0" xr:uid="{00000000-0006-0000-0400-000005000000}">
      <text>
        <r>
          <rPr>
            <b/>
            <sz val="9"/>
            <color rgb="FF000000"/>
            <rFont val="Arial"/>
            <family val="2"/>
          </rPr>
          <t xml:space="preserve">Author:
</t>
        </r>
        <r>
          <rPr>
            <sz val="9"/>
            <color rgb="FF000000"/>
            <rFont val="Arial"/>
            <family val="2"/>
          </rPr>
          <t>Conversion of Metric Tonnes of Methane to Metric Tonnes of CO2E using Methane GWP of 25</t>
        </r>
      </text>
    </comment>
    <comment ref="I3" authorId="0" shapeId="0" xr:uid="{00000000-0006-0000-0400-000006000000}">
      <text>
        <r>
          <rPr>
            <b/>
            <sz val="9"/>
            <color rgb="FF000000"/>
            <rFont val="Arial"/>
            <family val="2"/>
          </rPr>
          <t xml:space="preserve">Author:
</t>
        </r>
        <r>
          <rPr>
            <sz val="9"/>
            <color rgb="FF000000"/>
            <rFont val="Arial"/>
            <family val="2"/>
          </rPr>
          <t>Conversion of Metric Tonnes to Million Metric Tonnes Divide by 1,000,000</t>
        </r>
      </text>
    </comment>
    <comment ref="J3" authorId="0" shapeId="0" xr:uid="{00000000-0006-0000-0400-000007000000}">
      <text>
        <r>
          <rPr>
            <b/>
            <sz val="9"/>
            <color rgb="FF000000"/>
            <rFont val="Arial"/>
            <family val="2"/>
          </rPr>
          <t xml:space="preserve">Author:
</t>
        </r>
        <r>
          <rPr>
            <sz val="9"/>
            <color rgb="FF000000"/>
            <rFont val="Arial"/>
            <family val="2"/>
          </rPr>
          <t>Conversion of Metric Tonnes to Million Metric Tonnes Divide by 1,000,000</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E</author>
  </authors>
  <commentList>
    <comment ref="D3" authorId="0" shapeId="0" xr:uid="{00000000-0006-0000-0500-000001000000}">
      <text>
        <r>
          <rPr>
            <b/>
            <sz val="9"/>
            <color rgb="FF000000"/>
            <rFont val="Arial"/>
            <family val="2"/>
          </rPr>
          <t xml:space="preserve">Author:
</t>
        </r>
        <r>
          <rPr>
            <sz val="9"/>
            <color rgb="FF000000"/>
            <rFont val="Arial"/>
            <family val="2"/>
          </rPr>
          <t>CF of NG Consumed in MD and Produced by Fracking in PA</t>
        </r>
      </text>
    </comment>
    <comment ref="E3" authorId="0" shapeId="0" xr:uid="{00000000-0006-0000-0500-000002000000}">
      <text>
        <r>
          <rPr>
            <b/>
            <sz val="9"/>
            <color rgb="FF000000"/>
            <rFont val="Arial"/>
            <family val="2"/>
          </rPr>
          <t xml:space="preserve">Author:
</t>
        </r>
        <r>
          <rPr>
            <sz val="9"/>
            <color rgb="FF000000"/>
            <rFont val="Arial"/>
            <family val="2"/>
          </rPr>
          <t>Conversion of NG from Cubic Feet to Metric Tonnes</t>
        </r>
        <r>
          <rPr>
            <sz val="9"/>
            <color rgb="FF000000"/>
            <rFont val="Arial"/>
            <family val="2"/>
          </rPr>
          <t xml:space="preserve">
</t>
        </r>
      </text>
    </comment>
    <comment ref="F3" authorId="0" shapeId="0" xr:uid="{00000000-0006-0000-0500-000003000000}">
      <text>
        <r>
          <rPr>
            <b/>
            <sz val="9"/>
            <color rgb="FF000000"/>
            <rFont val="Arial"/>
            <family val="2"/>
          </rPr>
          <t xml:space="preserve">Author:
</t>
        </r>
        <r>
          <rPr>
            <sz val="9"/>
            <color rgb="FF000000"/>
            <rFont val="Arial"/>
            <family val="2"/>
          </rPr>
          <t>Metric Tonnes of NG Leaked using a Leakage Rate of 2.5%</t>
        </r>
      </text>
    </comment>
    <comment ref="G3" authorId="0" shapeId="0" xr:uid="{00000000-0006-0000-0500-000004000000}">
      <text>
        <r>
          <rPr>
            <b/>
            <sz val="9"/>
            <color rgb="FF000000"/>
            <rFont val="Arial"/>
            <family val="2"/>
          </rPr>
          <t xml:space="preserve">Author:
</t>
        </r>
        <r>
          <rPr>
            <sz val="9"/>
            <color rgb="FF000000"/>
            <rFont val="Arial"/>
            <family val="2"/>
          </rPr>
          <t>Metric Tonnes of METHANE Leaked using 98% or NG is Methane</t>
        </r>
        <r>
          <rPr>
            <sz val="9"/>
            <color rgb="FF000000"/>
            <rFont val="Arial"/>
            <family val="2"/>
          </rPr>
          <t xml:space="preserve">
</t>
        </r>
      </text>
    </comment>
    <comment ref="H3" authorId="0" shapeId="0" xr:uid="{00000000-0006-0000-0500-000005000000}">
      <text>
        <r>
          <rPr>
            <b/>
            <sz val="9"/>
            <color rgb="FF000000"/>
            <rFont val="Arial"/>
            <family val="2"/>
          </rPr>
          <t xml:space="preserve">Author:
</t>
        </r>
        <r>
          <rPr>
            <sz val="9"/>
            <color rgb="FF000000"/>
            <rFont val="Arial"/>
            <family val="2"/>
          </rPr>
          <t>Conversion of Metric Tonnes of Methane to Metric Tonnes of CO2E using Methane GWP of 25</t>
        </r>
      </text>
    </comment>
    <comment ref="I3" authorId="0" shapeId="0" xr:uid="{00000000-0006-0000-0500-000006000000}">
      <text>
        <r>
          <rPr>
            <b/>
            <sz val="9"/>
            <color rgb="FF000000"/>
            <rFont val="Arial"/>
            <family val="2"/>
          </rPr>
          <t xml:space="preserve">Author:
</t>
        </r>
        <r>
          <rPr>
            <sz val="9"/>
            <color rgb="FF000000"/>
            <rFont val="Arial"/>
            <family val="2"/>
          </rPr>
          <t>Conversion of Metric Tonnes to Million Metric Tonnes Divide by 1,000,000</t>
        </r>
      </text>
    </comment>
    <comment ref="J3" authorId="0" shapeId="0" xr:uid="{00000000-0006-0000-0500-000007000000}">
      <text>
        <r>
          <rPr>
            <b/>
            <sz val="9"/>
            <color rgb="FF000000"/>
            <rFont val="Arial"/>
            <family val="2"/>
          </rPr>
          <t xml:space="preserve">Author:
</t>
        </r>
        <r>
          <rPr>
            <sz val="9"/>
            <color rgb="FF000000"/>
            <rFont val="Arial"/>
            <family val="2"/>
          </rPr>
          <t>Conversion of Metric Tonnes to Million Metric Tonnes Divide by 1,000,000</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E</author>
  </authors>
  <commentList>
    <comment ref="D3" authorId="0" shapeId="0" xr:uid="{00000000-0006-0000-0600-000001000000}">
      <text>
        <r>
          <rPr>
            <b/>
            <sz val="9"/>
            <color rgb="FF000000"/>
            <rFont val="Arial"/>
            <family val="2"/>
          </rPr>
          <t xml:space="preserve">Author:
</t>
        </r>
        <r>
          <rPr>
            <sz val="9"/>
            <color rgb="FF000000"/>
            <rFont val="Arial"/>
            <family val="2"/>
          </rPr>
          <t>CF of NG Consumed in MD and Produced by Fracking in PA</t>
        </r>
      </text>
    </comment>
    <comment ref="E3" authorId="0" shapeId="0" xr:uid="{00000000-0006-0000-0600-000002000000}">
      <text>
        <r>
          <rPr>
            <b/>
            <sz val="9"/>
            <color rgb="FF000000"/>
            <rFont val="Arial"/>
            <family val="2"/>
          </rPr>
          <t xml:space="preserve">Author:
</t>
        </r>
        <r>
          <rPr>
            <sz val="9"/>
            <color rgb="FF000000"/>
            <rFont val="Arial"/>
            <family val="2"/>
          </rPr>
          <t>Conversion of NG from Cubic Feet to Metric Tonnes</t>
        </r>
        <r>
          <rPr>
            <sz val="9"/>
            <color rgb="FF000000"/>
            <rFont val="Arial"/>
            <family val="2"/>
          </rPr>
          <t xml:space="preserve">
</t>
        </r>
      </text>
    </comment>
    <comment ref="F3" authorId="0" shapeId="0" xr:uid="{00000000-0006-0000-0600-000003000000}">
      <text>
        <r>
          <rPr>
            <b/>
            <sz val="9"/>
            <color rgb="FF000000"/>
            <rFont val="Arial"/>
            <family val="2"/>
          </rPr>
          <t xml:space="preserve">Author:
</t>
        </r>
        <r>
          <rPr>
            <sz val="9"/>
            <color rgb="FF000000"/>
            <rFont val="Arial"/>
            <family val="2"/>
          </rPr>
          <t>Metric Tonnes of NG Leaked using a Leakage Rate of 2.5%</t>
        </r>
      </text>
    </comment>
    <comment ref="G3" authorId="0" shapeId="0" xr:uid="{00000000-0006-0000-0600-000004000000}">
      <text>
        <r>
          <rPr>
            <b/>
            <sz val="9"/>
            <color rgb="FF000000"/>
            <rFont val="Arial"/>
            <family val="2"/>
          </rPr>
          <t xml:space="preserve">Author:
</t>
        </r>
        <r>
          <rPr>
            <sz val="9"/>
            <color rgb="FF000000"/>
            <rFont val="Arial"/>
            <family val="2"/>
          </rPr>
          <t>Metric Tonnes of METHANE Leaked using 98% or NG is Methane</t>
        </r>
        <r>
          <rPr>
            <sz val="9"/>
            <color rgb="FF000000"/>
            <rFont val="Arial"/>
            <family val="2"/>
          </rPr>
          <t xml:space="preserve">
</t>
        </r>
      </text>
    </comment>
    <comment ref="H3" authorId="0" shapeId="0" xr:uid="{00000000-0006-0000-0600-000005000000}">
      <text>
        <r>
          <rPr>
            <b/>
            <sz val="9"/>
            <color rgb="FF000000"/>
            <rFont val="Arial"/>
            <family val="2"/>
          </rPr>
          <t xml:space="preserve">Author:
</t>
        </r>
        <r>
          <rPr>
            <sz val="9"/>
            <color rgb="FF000000"/>
            <rFont val="Arial"/>
            <family val="2"/>
          </rPr>
          <t>Conversion of Metric Tonnes of Methane to Metric Tonnes of CO2E using Methane GWP of 25</t>
        </r>
      </text>
    </comment>
    <comment ref="I3" authorId="0" shapeId="0" xr:uid="{00000000-0006-0000-0600-000006000000}">
      <text>
        <r>
          <rPr>
            <b/>
            <sz val="9"/>
            <color rgb="FF000000"/>
            <rFont val="Arial"/>
            <family val="2"/>
          </rPr>
          <t xml:space="preserve">Author:
</t>
        </r>
        <r>
          <rPr>
            <sz val="9"/>
            <color rgb="FF000000"/>
            <rFont val="Arial"/>
            <family val="2"/>
          </rPr>
          <t>Conversion of Metric Tonnes to Million Metric Tonnes Divide by 1,000,000</t>
        </r>
      </text>
    </comment>
    <comment ref="J3" authorId="0" shapeId="0" xr:uid="{00000000-0006-0000-0600-000007000000}">
      <text>
        <r>
          <rPr>
            <b/>
            <sz val="9"/>
            <color rgb="FF000000"/>
            <rFont val="Arial"/>
            <family val="2"/>
          </rPr>
          <t xml:space="preserve">Author:
</t>
        </r>
        <r>
          <rPr>
            <sz val="9"/>
            <color rgb="FF000000"/>
            <rFont val="Arial"/>
            <family val="2"/>
          </rPr>
          <t>Conversion of Metric Tonnes to Million Metric Tonnes Divide by 1,000,000</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E</author>
  </authors>
  <commentList>
    <comment ref="D3" authorId="0" shapeId="0" xr:uid="{00000000-0006-0000-0700-000001000000}">
      <text>
        <r>
          <rPr>
            <b/>
            <sz val="9"/>
            <color rgb="FF000000"/>
            <rFont val="Arial"/>
            <family val="2"/>
          </rPr>
          <t xml:space="preserve">Author:
</t>
        </r>
        <r>
          <rPr>
            <sz val="9"/>
            <color rgb="FF000000"/>
            <rFont val="Arial"/>
            <family val="2"/>
          </rPr>
          <t>CF of NG Consumed in MD and Produced by Fracking in PA</t>
        </r>
      </text>
    </comment>
    <comment ref="E3" authorId="0" shapeId="0" xr:uid="{00000000-0006-0000-0700-000002000000}">
      <text>
        <r>
          <rPr>
            <b/>
            <sz val="9"/>
            <color rgb="FF000000"/>
            <rFont val="Arial"/>
            <family val="2"/>
          </rPr>
          <t xml:space="preserve">Author:
</t>
        </r>
        <r>
          <rPr>
            <sz val="9"/>
            <color rgb="FF000000"/>
            <rFont val="Arial"/>
            <family val="2"/>
          </rPr>
          <t>Conversion of NG from Cubic Feet to Metric Tonnes</t>
        </r>
        <r>
          <rPr>
            <sz val="9"/>
            <color rgb="FF000000"/>
            <rFont val="Arial"/>
            <family val="2"/>
          </rPr>
          <t xml:space="preserve">
</t>
        </r>
      </text>
    </comment>
    <comment ref="F3" authorId="0" shapeId="0" xr:uid="{00000000-0006-0000-0700-000003000000}">
      <text>
        <r>
          <rPr>
            <b/>
            <sz val="9"/>
            <color rgb="FF000000"/>
            <rFont val="Arial"/>
            <family val="2"/>
          </rPr>
          <t xml:space="preserve">Author:
</t>
        </r>
        <r>
          <rPr>
            <sz val="9"/>
            <color rgb="FF000000"/>
            <rFont val="Arial"/>
            <family val="2"/>
          </rPr>
          <t>Metric Tonnes of NG Leaked using a Leakage Rate of 2.5%</t>
        </r>
      </text>
    </comment>
    <comment ref="G3" authorId="0" shapeId="0" xr:uid="{00000000-0006-0000-0700-000004000000}">
      <text>
        <r>
          <rPr>
            <b/>
            <sz val="9"/>
            <color rgb="FF000000"/>
            <rFont val="Arial"/>
            <family val="2"/>
          </rPr>
          <t xml:space="preserve">Author:
</t>
        </r>
        <r>
          <rPr>
            <sz val="9"/>
            <color rgb="FF000000"/>
            <rFont val="Arial"/>
            <family val="2"/>
          </rPr>
          <t>Metric Tonnes of METHANE Leaked using 98% or NG is Methane</t>
        </r>
        <r>
          <rPr>
            <sz val="9"/>
            <color rgb="FF000000"/>
            <rFont val="Arial"/>
            <family val="2"/>
          </rPr>
          <t xml:space="preserve">
</t>
        </r>
      </text>
    </comment>
    <comment ref="H3" authorId="0" shapeId="0" xr:uid="{00000000-0006-0000-0700-000005000000}">
      <text>
        <r>
          <rPr>
            <b/>
            <sz val="9"/>
            <color rgb="FF000000"/>
            <rFont val="Arial"/>
            <family val="2"/>
          </rPr>
          <t xml:space="preserve">Author:
</t>
        </r>
        <r>
          <rPr>
            <sz val="9"/>
            <color rgb="FF000000"/>
            <rFont val="Arial"/>
            <family val="2"/>
          </rPr>
          <t>Conversion of Metric Tonnes of Methane to Metric Tonnes of CO2E using Methane GWP of 25</t>
        </r>
      </text>
    </comment>
    <comment ref="I3" authorId="0" shapeId="0" xr:uid="{00000000-0006-0000-0700-000006000000}">
      <text>
        <r>
          <rPr>
            <b/>
            <sz val="9"/>
            <color rgb="FF000000"/>
            <rFont val="Arial"/>
            <family val="2"/>
          </rPr>
          <t xml:space="preserve">Author:
</t>
        </r>
        <r>
          <rPr>
            <sz val="9"/>
            <color rgb="FF000000"/>
            <rFont val="Arial"/>
            <family val="2"/>
          </rPr>
          <t>Conversion of Metric Tonnes to Million Metric Tonnes Divide by 1,000,000</t>
        </r>
      </text>
    </comment>
    <comment ref="J3" authorId="0" shapeId="0" xr:uid="{00000000-0006-0000-0700-000007000000}">
      <text>
        <r>
          <rPr>
            <b/>
            <sz val="9"/>
            <color rgb="FF000000"/>
            <rFont val="Arial"/>
            <family val="2"/>
          </rPr>
          <t xml:space="preserve">Author:
</t>
        </r>
        <r>
          <rPr>
            <sz val="9"/>
            <color rgb="FF000000"/>
            <rFont val="Arial"/>
            <family val="2"/>
          </rPr>
          <t>Conversion of Metric Tonnes to Million Metric Tonnes Divide by 1,000,000</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E</author>
  </authors>
  <commentList>
    <comment ref="C3" authorId="0" shapeId="0" xr:uid="{00000000-0006-0000-0800-000001000000}">
      <text>
        <r>
          <rPr>
            <b/>
            <sz val="9"/>
            <color rgb="FF000000"/>
            <rFont val="Arial"/>
            <family val="2"/>
          </rPr>
          <t xml:space="preserve">Author:
</t>
        </r>
        <r>
          <rPr>
            <sz val="9"/>
            <color rgb="FF000000"/>
            <rFont val="Arial"/>
            <family val="2"/>
          </rPr>
          <t>67% of MD NG Consumption Produced by Fracking in PA</t>
        </r>
      </text>
    </comment>
    <comment ref="D3" authorId="0" shapeId="0" xr:uid="{00000000-0006-0000-0800-000002000000}">
      <text>
        <r>
          <rPr>
            <b/>
            <sz val="9"/>
            <color rgb="FF000000"/>
            <rFont val="Arial"/>
            <family val="2"/>
          </rPr>
          <t xml:space="preserve">Author:
</t>
        </r>
        <r>
          <rPr>
            <sz val="9"/>
            <color rgb="FF000000"/>
            <rFont val="Arial"/>
            <family val="2"/>
          </rPr>
          <t>CF of NG Consumed in MD and Produced by Fracking in PA</t>
        </r>
      </text>
    </comment>
    <comment ref="E3" authorId="0" shapeId="0" xr:uid="{00000000-0006-0000-0800-000003000000}">
      <text>
        <r>
          <rPr>
            <b/>
            <sz val="9"/>
            <color rgb="FF000000"/>
            <rFont val="Arial"/>
            <family val="2"/>
          </rPr>
          <t xml:space="preserve">Author:
</t>
        </r>
        <r>
          <rPr>
            <sz val="9"/>
            <color rgb="FF000000"/>
            <rFont val="Arial"/>
            <family val="2"/>
          </rPr>
          <t>Conversion of NG from Cubic Feet to Metric Tonnes</t>
        </r>
        <r>
          <rPr>
            <sz val="9"/>
            <color rgb="FF000000"/>
            <rFont val="Arial"/>
            <family val="2"/>
          </rPr>
          <t xml:space="preserve">
</t>
        </r>
      </text>
    </comment>
    <comment ref="F3" authorId="0" shapeId="0" xr:uid="{00000000-0006-0000-0800-000004000000}">
      <text>
        <r>
          <rPr>
            <b/>
            <sz val="9"/>
            <color rgb="FF000000"/>
            <rFont val="Arial"/>
            <family val="2"/>
          </rPr>
          <t xml:space="preserve">Author:
</t>
        </r>
        <r>
          <rPr>
            <sz val="9"/>
            <color rgb="FF000000"/>
            <rFont val="Arial"/>
            <family val="2"/>
          </rPr>
          <t>Metric Tonnes of NG Leaked using a Leakage Rate of 2.5%</t>
        </r>
      </text>
    </comment>
    <comment ref="G3" authorId="0" shapeId="0" xr:uid="{00000000-0006-0000-0800-000005000000}">
      <text>
        <r>
          <rPr>
            <b/>
            <sz val="9"/>
            <color rgb="FF000000"/>
            <rFont val="Arial"/>
            <family val="2"/>
          </rPr>
          <t xml:space="preserve">Author:
</t>
        </r>
        <r>
          <rPr>
            <sz val="9"/>
            <color rgb="FF000000"/>
            <rFont val="Arial"/>
            <family val="2"/>
          </rPr>
          <t>Metric Tonnes of METHANE Leaked using 98% or NG is Methane</t>
        </r>
        <r>
          <rPr>
            <sz val="9"/>
            <color rgb="FF000000"/>
            <rFont val="Arial"/>
            <family val="2"/>
          </rPr>
          <t xml:space="preserve">
</t>
        </r>
      </text>
    </comment>
    <comment ref="H3" authorId="0" shapeId="0" xr:uid="{00000000-0006-0000-0800-000006000000}">
      <text>
        <r>
          <rPr>
            <b/>
            <sz val="9"/>
            <color rgb="FF000000"/>
            <rFont val="Arial"/>
            <family val="2"/>
          </rPr>
          <t xml:space="preserve">Author:
</t>
        </r>
        <r>
          <rPr>
            <sz val="9"/>
            <color rgb="FF000000"/>
            <rFont val="Arial"/>
            <family val="2"/>
          </rPr>
          <t>Conversion of Metric Tonnes of Methane to Metric Tonnes of CO2E using Methane GWP of 25</t>
        </r>
      </text>
    </comment>
    <comment ref="I3" authorId="0" shapeId="0" xr:uid="{00000000-0006-0000-0800-000007000000}">
      <text>
        <r>
          <rPr>
            <b/>
            <sz val="9"/>
            <color rgb="FF000000"/>
            <rFont val="Arial"/>
            <family val="2"/>
          </rPr>
          <t xml:space="preserve">Author:
</t>
        </r>
        <r>
          <rPr>
            <sz val="9"/>
            <color rgb="FF000000"/>
            <rFont val="Arial"/>
            <family val="2"/>
          </rPr>
          <t>Conversion of Metric Tonnes to Million Metric Tonnes Divide by 1,000,000</t>
        </r>
      </text>
    </comment>
    <comment ref="J3" authorId="0" shapeId="0" xr:uid="{00000000-0006-0000-0800-000008000000}">
      <text>
        <r>
          <rPr>
            <b/>
            <sz val="9"/>
            <color rgb="FF000000"/>
            <rFont val="Arial"/>
            <family val="2"/>
          </rPr>
          <t xml:space="preserve">Author:
</t>
        </r>
        <r>
          <rPr>
            <sz val="9"/>
            <color rgb="FF000000"/>
            <rFont val="Arial"/>
            <family val="2"/>
          </rPr>
          <t>Conversion of Metric Tonnes to Million Metric Tonnes Divide by 1,000,000</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E</author>
  </authors>
  <commentList>
    <comment ref="C3" authorId="0" shapeId="0" xr:uid="{00000000-0006-0000-0900-000001000000}">
      <text>
        <r>
          <rPr>
            <b/>
            <sz val="9"/>
            <color rgb="FF000000"/>
            <rFont val="Arial"/>
            <family val="2"/>
          </rPr>
          <t xml:space="preserve">Author:
</t>
        </r>
        <r>
          <rPr>
            <sz val="9"/>
            <color rgb="FF000000"/>
            <rFont val="Arial"/>
            <family val="2"/>
          </rPr>
          <t>67% of MD NG Consumption Produced by Fracking in PA</t>
        </r>
      </text>
    </comment>
    <comment ref="D3" authorId="0" shapeId="0" xr:uid="{00000000-0006-0000-0900-000002000000}">
      <text>
        <r>
          <rPr>
            <b/>
            <sz val="9"/>
            <color rgb="FF000000"/>
            <rFont val="Arial"/>
            <family val="2"/>
          </rPr>
          <t xml:space="preserve">Author:
</t>
        </r>
        <r>
          <rPr>
            <sz val="9"/>
            <color rgb="FF000000"/>
            <rFont val="Arial"/>
            <family val="2"/>
          </rPr>
          <t>CF of NG Consumed in MD and Produced by Fracking in PA</t>
        </r>
      </text>
    </comment>
    <comment ref="E3" authorId="0" shapeId="0" xr:uid="{00000000-0006-0000-0900-000003000000}">
      <text>
        <r>
          <rPr>
            <b/>
            <sz val="9"/>
            <color rgb="FF000000"/>
            <rFont val="Arial"/>
            <family val="2"/>
          </rPr>
          <t xml:space="preserve">Author:
</t>
        </r>
        <r>
          <rPr>
            <sz val="9"/>
            <color rgb="FF000000"/>
            <rFont val="Arial"/>
            <family val="2"/>
          </rPr>
          <t>Conversion of NG from Cubic Feet to Metric Tonnes</t>
        </r>
        <r>
          <rPr>
            <sz val="9"/>
            <color rgb="FF000000"/>
            <rFont val="Arial"/>
            <family val="2"/>
          </rPr>
          <t xml:space="preserve">
</t>
        </r>
      </text>
    </comment>
    <comment ref="F3" authorId="0" shapeId="0" xr:uid="{00000000-0006-0000-0900-000004000000}">
      <text>
        <r>
          <rPr>
            <b/>
            <sz val="9"/>
            <color rgb="FF000000"/>
            <rFont val="Arial"/>
            <family val="2"/>
          </rPr>
          <t xml:space="preserve">Author:
</t>
        </r>
        <r>
          <rPr>
            <sz val="9"/>
            <color rgb="FF000000"/>
            <rFont val="Arial"/>
            <family val="2"/>
          </rPr>
          <t>Metric Tonnes of NG Leaked using a Leakage Rate of 2.5%</t>
        </r>
      </text>
    </comment>
    <comment ref="G3" authorId="0" shapeId="0" xr:uid="{00000000-0006-0000-0900-000005000000}">
      <text>
        <r>
          <rPr>
            <b/>
            <sz val="9"/>
            <color rgb="FF000000"/>
            <rFont val="Arial"/>
            <family val="2"/>
          </rPr>
          <t xml:space="preserve">Author:
</t>
        </r>
        <r>
          <rPr>
            <sz val="9"/>
            <color rgb="FF000000"/>
            <rFont val="Arial"/>
            <family val="2"/>
          </rPr>
          <t>Metric Tonnes of METHANE Leaked using 98% or NG is Methane</t>
        </r>
        <r>
          <rPr>
            <sz val="9"/>
            <color rgb="FF000000"/>
            <rFont val="Arial"/>
            <family val="2"/>
          </rPr>
          <t xml:space="preserve">
</t>
        </r>
      </text>
    </comment>
    <comment ref="H3" authorId="0" shapeId="0" xr:uid="{00000000-0006-0000-0900-000006000000}">
      <text>
        <r>
          <rPr>
            <b/>
            <sz val="9"/>
            <color rgb="FF000000"/>
            <rFont val="Arial"/>
            <family val="2"/>
          </rPr>
          <t xml:space="preserve">Author:
</t>
        </r>
        <r>
          <rPr>
            <sz val="9"/>
            <color rgb="FF000000"/>
            <rFont val="Arial"/>
            <family val="2"/>
          </rPr>
          <t>Conversion of Metric Tonnes of Methane to Metric Tonnes of CO2E using Methane GWP of 25</t>
        </r>
      </text>
    </comment>
    <comment ref="I3" authorId="0" shapeId="0" xr:uid="{00000000-0006-0000-0900-000007000000}">
      <text>
        <r>
          <rPr>
            <b/>
            <sz val="9"/>
            <color rgb="FF000000"/>
            <rFont val="Arial"/>
            <family val="2"/>
          </rPr>
          <t xml:space="preserve">Author:
</t>
        </r>
        <r>
          <rPr>
            <sz val="9"/>
            <color rgb="FF000000"/>
            <rFont val="Arial"/>
            <family val="2"/>
          </rPr>
          <t>Conversion of Metric Tonnes to Million Metric Tonnes Divide by 1,000,000</t>
        </r>
      </text>
    </comment>
    <comment ref="J3" authorId="0" shapeId="0" xr:uid="{00000000-0006-0000-0900-000008000000}">
      <text>
        <r>
          <rPr>
            <b/>
            <sz val="9"/>
            <color rgb="FF000000"/>
            <rFont val="Arial"/>
            <family val="2"/>
          </rPr>
          <t xml:space="preserve">Author:
</t>
        </r>
        <r>
          <rPr>
            <sz val="9"/>
            <color rgb="FF000000"/>
            <rFont val="Arial"/>
            <family val="2"/>
          </rPr>
          <t>Conversion of Metric Tonnes to Million Metric Tonnes Divide by 1,000,000</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E</author>
  </authors>
  <commentList>
    <comment ref="D1" authorId="0" shapeId="0" xr:uid="{00000000-0006-0000-0F00-000001000000}">
      <text>
        <r>
          <rPr>
            <b/>
            <sz val="9"/>
            <color rgb="FF000000"/>
            <rFont val="Arial"/>
            <family val="2"/>
          </rPr>
          <t xml:space="preserve">Author:
</t>
        </r>
        <r>
          <rPr>
            <sz val="9"/>
            <color rgb="FF000000"/>
            <rFont val="Arial"/>
            <family val="2"/>
          </rPr>
          <t>Link:</t>
        </r>
        <r>
          <rPr>
            <sz val="9"/>
            <color rgb="FF000000"/>
            <rFont val="Arial"/>
            <family val="2"/>
          </rPr>
          <t xml:space="preserve">
https://www3.epa.gov/carbon-footprint-calculator/tool/userarchiveversion/documents/SubW_Screening_Tool_Onshore_Production.xls</t>
        </r>
      </text>
    </comment>
    <comment ref="D7" authorId="0" shapeId="0" xr:uid="{00000000-0006-0000-0F00-000002000000}">
      <text>
        <r>
          <rPr>
            <b/>
            <sz val="9"/>
            <color rgb="FF000000"/>
            <rFont val="Arial"/>
            <family val="2"/>
          </rPr>
          <t xml:space="preserve">Author:
</t>
        </r>
        <r>
          <rPr>
            <sz val="9"/>
            <color rgb="FF000000"/>
            <rFont val="Arial"/>
            <family val="2"/>
          </rPr>
          <t xml:space="preserve">
</t>
        </r>
        <r>
          <rPr>
            <sz val="9"/>
            <color rgb="FF000000"/>
            <rFont val="Arial"/>
            <family val="2"/>
          </rPr>
          <t xml:space="preserve">
(525000+455015) = well #</t>
        </r>
      </text>
    </comment>
  </commentList>
</comments>
</file>

<file path=xl/sharedStrings.xml><?xml version="1.0" encoding="utf-8"?>
<sst xmlns="http://schemas.openxmlformats.org/spreadsheetml/2006/main" count="1663" uniqueCount="379">
  <si>
    <t>Workbook Contents</t>
  </si>
  <si>
    <t>Maryland Natural Gas Consumption by End Use</t>
  </si>
  <si>
    <t>Click worksheet name or tab at bottom for data</t>
  </si>
  <si>
    <t>Worksheet Name</t>
  </si>
  <si>
    <t>Description</t>
  </si>
  <si>
    <t># Of Series</t>
  </si>
  <si>
    <t>Frequency</t>
  </si>
  <si>
    <t>Latest Data for</t>
  </si>
  <si>
    <t>Data 1</t>
  </si>
  <si>
    <t>Annual</t>
  </si>
  <si>
    <t>6/30/1967</t>
  </si>
  <si>
    <t>Release Date:</t>
  </si>
  <si>
    <t>4/30/2018</t>
  </si>
  <si>
    <t>Next Release Date:</t>
  </si>
  <si>
    <t>5/31/2018</t>
  </si>
  <si>
    <t>Excel File Name:</t>
  </si>
  <si>
    <t>ng_cons_sum_dcu_smd_a.xls</t>
  </si>
  <si>
    <t>Available from Web Page:</t>
  </si>
  <si>
    <t>http://www.eia.gov/dnav/ng/ng_cons_sum_dcu_smd_a.htm</t>
  </si>
  <si>
    <t>Source:</t>
  </si>
  <si>
    <t>Energy Information Administration</t>
  </si>
  <si>
    <t>For Help, Contact:</t>
  </si>
  <si>
    <t>infoctr@eia.gov</t>
  </si>
  <si>
    <t>(202) 586-8800</t>
  </si>
  <si>
    <t>4/27/2018 6:45:02 AM</t>
  </si>
  <si>
    <t>Back to Contents</t>
  </si>
  <si>
    <t>Data 1: Maryland Natural Gas Consumption by End Use</t>
  </si>
  <si>
    <t>Sourcekey</t>
  </si>
  <si>
    <t>NA1490_SMD_2</t>
  </si>
  <si>
    <t>NA1470_SMD_2</t>
  </si>
  <si>
    <t>NA1840_SMD_2</t>
  </si>
  <si>
    <t>NA1480_SMD_2</t>
  </si>
  <si>
    <t>N3060MD2</t>
  </si>
  <si>
    <t>N3010MD2</t>
  </si>
  <si>
    <t>N3020MD2</t>
  </si>
  <si>
    <t>N3035MD2</t>
  </si>
  <si>
    <t>NA1570_SMD_2</t>
  </si>
  <si>
    <t>N3045MD2</t>
  </si>
  <si>
    <t>Date</t>
  </si>
  <si>
    <t>Maryland Natural Gas Total Consumption (MMcf)</t>
  </si>
  <si>
    <t>Maryland Natural Gas Lease and Plant Fuel Consumption (MMcf)</t>
  </si>
  <si>
    <t>Maryland Natural Gas Lease Fuel Consumption (MMcf)</t>
  </si>
  <si>
    <t>Maryland Natural Gas Pipeline and Distribution Use (MMcf)</t>
  </si>
  <si>
    <t>Natural Gas Delivered to Consumers in Maryland (Including Vehicle Fuel) (MMcf)</t>
  </si>
  <si>
    <t>Maryland Natural Gas Residential Consumption (MMcf)</t>
  </si>
  <si>
    <t>Natural Gas Deliveries to Commercial Consumers (Including Vehicle Fuel through 1996) in Maryland (MMcf)</t>
  </si>
  <si>
    <t>Maryland Natural Gas Industrial Consumption (MMcf)</t>
  </si>
  <si>
    <t>Maryland Natural Gas Vehicle Fuel Consumption (MMcf)</t>
  </si>
  <si>
    <t>Maryland Natural Gas Deliveries to Electric Power Consumers (MMcf)</t>
  </si>
  <si>
    <t>Source</t>
  </si>
  <si>
    <t>https://www.google.com/url?sa=t&amp;rct=j&amp;q=&amp;esrc=s&amp;source=web&amp;cd=2&amp;cad=rja&amp;uact=8&amp;ved=0ahUKEwjn3JKn6onPAhUJFh4KHepYCMUQFgg9MAE&amp;url=http%3A%2F%2Fstatic.berkeleyearth.org%2Fmemos%2Fepa-report-reveals-lower-methane-leakage-from-natural-gas.pdf&amp;usg=AFQjCNHAxQ6zsOHb-e-J68zjaf58WdIpJg&amp;bvm=bv.132479545,d.dmo</t>
  </si>
  <si>
    <t>Leakage Rate Percent</t>
  </si>
  <si>
    <t>https://www.edf.org/energy/methaneleakage</t>
  </si>
  <si>
    <t>Liquid density lb/ft^3</t>
  </si>
  <si>
    <t>Global warming potential</t>
  </si>
  <si>
    <t>http://archive.ipcc.ch/publications_and_data/ar4/wg1/en/errataserrata-errata.html#table214</t>
  </si>
  <si>
    <t>NG Conversion</t>
  </si>
  <si>
    <t>cubic feet NG/metric ton NG</t>
  </si>
  <si>
    <t>https://www.extension.iastate.edu/agdm/wholefarm/html/c6-89.html</t>
  </si>
  <si>
    <t>NG CH4 %</t>
  </si>
  <si>
    <t>Percent Methane in Natural Gas</t>
  </si>
  <si>
    <t>http://scifun.chem.wisc.edu/chemweek/methane/methane.html</t>
  </si>
  <si>
    <t>Difference to 2006</t>
  </si>
  <si>
    <t>NG
(cf)</t>
  </si>
  <si>
    <t>metric tonnes NG</t>
  </si>
  <si>
    <t>metric tonnes NG Leaked</t>
  </si>
  <si>
    <t>Metric Tonnes CH4 Leaked</t>
  </si>
  <si>
    <t>Metric Tonnes CH4 Leaked
(CO2E)</t>
  </si>
  <si>
    <t>MMt CO2E</t>
  </si>
  <si>
    <t>MMt CO2E Outside of MD</t>
  </si>
  <si>
    <t>MMtCO2E Sum with Well Construction Emissions</t>
  </si>
  <si>
    <t>MD Total NG Consumption in 2006 was very low.  Using consumption data from 1997 or 2000 (also pre-fracking years) would further reduce the CH4 leakage offset amount</t>
  </si>
  <si>
    <t>Constant Name</t>
  </si>
  <si>
    <t>Constant Value</t>
  </si>
  <si>
    <t>Percentage Double-Counted</t>
  </si>
  <si>
    <t>http://maps.fractracker.org/latest/?webmap=a00c3b5cee4e4fe0b238b5e05ed80204</t>
  </si>
  <si>
    <t>EPA value % CH4 in NG</t>
  </si>
  <si>
    <t>https://www.epa.gov/natural-gas-star-program/overview-oil-and-natural-gas-industry</t>
  </si>
  <si>
    <r>
      <t>In the new report, EDF analyzed methane leaks from Pennsylvania's conventional oil and gas wells, mostly drilled before 2008, and from unconventional wells, those unlocked since then using hydraulic fracturing. There are far more conventional wells than unconventional ones in the state, and because they are older they leak at a much higher rate. Twenty-three percent of methane at a conventional well leaked into the atmosphere compared to</t>
    </r>
    <r>
      <rPr>
        <sz val="10"/>
        <color rgb="FFFF0000"/>
        <rFont val="Arial"/>
        <family val="2"/>
      </rPr>
      <t xml:space="preserve"> 0.3 percent at a fracked well</t>
    </r>
    <r>
      <rPr>
        <sz val="10"/>
        <color theme="1"/>
        <rFont val="Arial"/>
        <family val="2"/>
      </rPr>
      <t>, EDF estimated.</t>
    </r>
  </si>
  <si>
    <t>https://insideclimatenews.org/news/16022018/methane-leaks-oil-natural-gas-data-global-warming-pennsylvania-edf-study</t>
  </si>
  <si>
    <t>(pipeline quality natural gas is 95-98 percent methane).</t>
  </si>
  <si>
    <t>https://archive.ipcc.ch/pdf/assessment-report/ar5/syr/SYR_AR5_FINAL_full_wcover.pdf</t>
  </si>
  <si>
    <t>Average 1997-2005</t>
  </si>
  <si>
    <t>67% of NG from Fracking</t>
  </si>
  <si>
    <t>PENNSYLVANIA NATURAL GAS FRACKING WELLS - WASHINGTON COUNTY - PRODUCTION - 2016</t>
  </si>
  <si>
    <t>Well Name</t>
  </si>
  <si>
    <t>Well Location</t>
  </si>
  <si>
    <t>Well Owner</t>
  </si>
  <si>
    <t>Production
(mcf)Production
(mcf)Production
(mcf)</t>
  </si>
  <si>
    <t>Production
ATW dollars
(market value)Production
ATW dollars
(market value)Production
ATW dollars
(market value)</t>
  </si>
  <si>
    <t>Production
Est. Royalties
(crowd sourced ATW value)Production
Est. Royalties
(crowd sourced ATW value)Production
Est. Royalties
(crowd sourced ATW value)</t>
  </si>
  <si>
    <t>X-MAN 5H</t>
  </si>
  <si>
    <t>Washington County | Amwell Township</t>
  </si>
  <si>
    <t>Gas company: RICE</t>
  </si>
  <si>
    <t>HULK 8H</t>
  </si>
  <si>
    <t>HULK 4H</t>
  </si>
  <si>
    <t>MONO 4H</t>
  </si>
  <si>
    <t>Washington County | North Bethlehem Township</t>
  </si>
  <si>
    <t>BROVA 11H</t>
  </si>
  <si>
    <t>HULK 6H</t>
  </si>
  <si>
    <t>US NATURAL RESOURCES UNIT 10H</t>
  </si>
  <si>
    <t>Washington County | Somerset Township</t>
  </si>
  <si>
    <t>Gas company: RANGE</t>
  </si>
  <si>
    <t>US NATURAL RESOURCES UNIT 8H</t>
  </si>
  <si>
    <t>HAROLD HAYWOOD WAS 3H</t>
  </si>
  <si>
    <t>Washington County | Carroll Township</t>
  </si>
  <si>
    <t>Gas company: EQT</t>
  </si>
  <si>
    <t>R SMITH 592302</t>
  </si>
  <si>
    <t>R. SMITH 592300</t>
  </si>
  <si>
    <t>US NATURAL RESOURCES UNIT 7H</t>
  </si>
  <si>
    <t>SWAGLER 6H</t>
  </si>
  <si>
    <t>IRON MAN 2H</t>
  </si>
  <si>
    <t>DMC PROPERTIES UNIT 10H</t>
  </si>
  <si>
    <t>Washington County | Donegal Township</t>
  </si>
  <si>
    <t>WATERBOY 2H</t>
  </si>
  <si>
    <t>Washington County | South Strabane Township</t>
  </si>
  <si>
    <t>BRUCE WAYNE A 5H</t>
  </si>
  <si>
    <t>WOLVERINE 10H</t>
  </si>
  <si>
    <t>Washington County | Fallowfield Township</t>
  </si>
  <si>
    <t>US NATURAL RESOURCES UNIT 1H</t>
  </si>
  <si>
    <t>LUSK 3H</t>
  </si>
  <si>
    <t>Washington County | West Pike Run Township</t>
  </si>
  <si>
    <t>MAD DOG 2020 9H</t>
  </si>
  <si>
    <t>CRUM NV55CHS</t>
  </si>
  <si>
    <t>Washington County | Morris Township</t>
  </si>
  <si>
    <t>Gas company: CNX</t>
  </si>
  <si>
    <t>CONSOL NV57GHS</t>
  </si>
  <si>
    <t>WATERBOY 4H</t>
  </si>
  <si>
    <t>MAD DOG 2020 5H</t>
  </si>
  <si>
    <t>ZORRO 2H</t>
  </si>
  <si>
    <t>ZORRO 4H</t>
  </si>
  <si>
    <t>ZORRO 12H</t>
  </si>
  <si>
    <t>CRUM NV55EHS</t>
  </si>
  <si>
    <t>MONO 3H</t>
  </si>
  <si>
    <t>COFFIELD/GOTTSCHALK NV34JHS</t>
  </si>
  <si>
    <t>CONSOL NV57CHS</t>
  </si>
  <si>
    <t>CRUM NV55DHS</t>
  </si>
  <si>
    <t>MARCHEZAK JOHN 11528 6H</t>
  </si>
  <si>
    <t>BROVA 9H</t>
  </si>
  <si>
    <t>MONO 1H</t>
  </si>
  <si>
    <t>GOLDEN GOOSE 8H</t>
  </si>
  <si>
    <t>R SMITH 592299</t>
  </si>
  <si>
    <t>TRAX FARMS 592309</t>
  </si>
  <si>
    <t>Washington County | Union Township</t>
  </si>
  <si>
    <t>BIER ALBERT 11409 2H</t>
  </si>
  <si>
    <t>Washington County | North Strabane Township</t>
  </si>
  <si>
    <t>X-MAN 7H</t>
  </si>
  <si>
    <t>CONSOL NV57JHS</t>
  </si>
  <si>
    <t>BROVA 3H</t>
  </si>
  <si>
    <t>BROVA 7H</t>
  </si>
  <si>
    <t>BIG DADDY SHAW 6H</t>
  </si>
  <si>
    <t>MONO 7H</t>
  </si>
  <si>
    <t>MAD DOG 2020 0H</t>
  </si>
  <si>
    <t>BROVA 4H</t>
  </si>
  <si>
    <t>WATERBOY 8H</t>
  </si>
  <si>
    <t>COFFIELD/GOTTSCHALK NV34GHS</t>
  </si>
  <si>
    <t>AVERAGE PRODUCTION</t>
  </si>
  <si>
    <t>Assumption</t>
  </si>
  <si>
    <t>Number of Wells Needed to Meet MD Demand (Demand Defined as Amount Above 2006 Consumption)</t>
  </si>
  <si>
    <t>Additional Demand from 2006 in Maryland</t>
  </si>
  <si>
    <t>Number of Fracking Wells In PA Needed to Meet Additional Demand</t>
  </si>
  <si>
    <t>CO2E Fracking Well Development Emissions for 5 Wells</t>
  </si>
  <si>
    <t>Number of Wells Needed to Meet MD Demand (Demand Defined as Maximum Consumption Year 1997-2005)</t>
  </si>
  <si>
    <t>CO2E Fracking Well Development Emissions for 1 Well</t>
  </si>
  <si>
    <t>Number of Wells Needed to Meet MD Demand (Demand Defined as Average Consumption Between Years 1997-2005)</t>
  </si>
  <si>
    <t>CO2E Fracking Well Development Emissions for 3 Wells</t>
  </si>
  <si>
    <t>Number of Wells Needed to Meet MD Demand (Demand Defined as 67% of Total Consumption)</t>
  </si>
  <si>
    <t>CO2E Fracking Well Development Emissions for 19 Wells</t>
  </si>
  <si>
    <t>Onshore Petroleum &amp; Natural Gas Production</t>
  </si>
  <si>
    <r>
      <t xml:space="preserve">INSTRUCTIONS:
</t>
    </r>
    <r>
      <rPr>
        <sz val="10"/>
        <color theme="1"/>
        <rFont val="Arial"/>
        <family val="2"/>
      </rPr>
      <t>This sheet provides a simple tool for estimating equipment leak, vented, and combustion emissions from onshore petroleum &amp; natural gas production.  Enter the required information into the “Input Data” field for each source of emissions at your facility. The tool will automatically sum emissions from each input and provide a total estimate of annual CO</t>
    </r>
    <r>
      <rPr>
        <vertAlign val="subscript"/>
        <sz val="10"/>
        <color theme="1"/>
        <rFont val="Arial"/>
        <family val="2"/>
      </rPr>
      <t>2</t>
    </r>
    <r>
      <rPr>
        <sz val="10"/>
        <color theme="1"/>
        <rFont val="Arial"/>
        <family val="2"/>
      </rPr>
      <t>e equipment leak, vented, and combustion emissions. Enter this total into the CO</t>
    </r>
    <r>
      <rPr>
        <vertAlign val="subscript"/>
        <sz val="10"/>
        <color theme="1"/>
        <rFont val="Arial"/>
        <family val="2"/>
      </rPr>
      <t>2</t>
    </r>
    <r>
      <rPr>
        <sz val="10"/>
        <color theme="1"/>
        <rFont val="Arial"/>
        <family val="2"/>
      </rPr>
      <t xml:space="preserve">e emissions field for onshore petroleum &amp; natural gas production in the applicability tool.  </t>
    </r>
    <r>
      <rPr>
        <sz val="10"/>
        <color theme="1"/>
        <rFont val="Arial"/>
        <family val="2"/>
      </rPr>
      <t xml:space="preserve">
</t>
    </r>
    <r>
      <rPr>
        <sz val="10"/>
        <color theme="1"/>
        <rFont val="Arial"/>
        <family val="2"/>
      </rPr>
      <t xml:space="preserve">
For screening purposes related to co-located industry segments, emissions from all applicable industry segments should be combined to determine whether the emissions from the facility with the co-located industry segments would exceed the 25,000 metric ton CO</t>
    </r>
    <r>
      <rPr>
        <vertAlign val="subscript"/>
        <sz val="10"/>
        <color theme="1"/>
        <rFont val="Arial"/>
        <family val="2"/>
      </rPr>
      <t>2</t>
    </r>
    <r>
      <rPr>
        <sz val="10"/>
        <color theme="1"/>
        <rFont val="Arial"/>
        <family val="2"/>
      </rPr>
      <t>e reporting threshold.</t>
    </r>
  </si>
  <si>
    <t>Methane Emissions Source</t>
  </si>
  <si>
    <t>Input Data</t>
  </si>
  <si>
    <t>Units</t>
  </si>
  <si>
    <r>
      <t>Emissions (metric tons CO</t>
    </r>
    <r>
      <rPr>
        <b/>
        <vertAlign val="subscript"/>
        <sz val="14"/>
        <color rgb="FFFFFFFF"/>
        <rFont val="Arial"/>
        <family val="2"/>
      </rPr>
      <t>2</t>
    </r>
    <r>
      <rPr>
        <b/>
        <sz val="14"/>
        <color rgb="FFFFFFFF"/>
        <rFont val="Arial"/>
        <family val="2"/>
      </rPr>
      <t>e/year)Emissions (metric tons CO</t>
    </r>
    <r>
      <rPr>
        <b/>
        <vertAlign val="subscript"/>
        <sz val="14"/>
        <color rgb="FFFFFFFF"/>
        <rFont val="Arial"/>
        <family val="2"/>
      </rPr>
      <t>2</t>
    </r>
    <r>
      <rPr>
        <b/>
        <sz val="14"/>
        <color rgb="FFFFFFFF"/>
        <rFont val="Arial"/>
        <family val="2"/>
      </rPr>
      <t>e/year)</t>
    </r>
  </si>
  <si>
    <t>Emissions from Field Development (new wells: i.e., expected wells to be drilled &amp; completed in calendar year)</t>
  </si>
  <si>
    <t>Gas well venting during well completions with hydraulic fracturing</t>
  </si>
  <si>
    <t>Number of well completions with hydraulic fracturing</t>
  </si>
  <si>
    <t>Combustion emissions:Combustion emissions:</t>
  </si>
  <si>
    <t>Well drilling and completion equipment (only for hydraulic fracturing)</t>
  </si>
  <si>
    <r>
      <t>Number of</t>
    </r>
    <r>
      <rPr>
        <sz val="10"/>
        <color theme="1"/>
        <rFont val="Arial"/>
        <family val="2"/>
      </rPr>
      <t xml:space="preserve"> active drilling rig enginesNumber of active drilling rig engines</t>
    </r>
  </si>
  <si>
    <t>Operating factor (decimal form)*</t>
  </si>
  <si>
    <t>Emissions from Ongoing Production (i.e., from wells currently in operation)</t>
  </si>
  <si>
    <t>Well venting for liquids unloading</t>
  </si>
  <si>
    <t>Number of wells (w/o plungers) unloaded</t>
  </si>
  <si>
    <t>Gas well venting during well workovers with hydraulic fracturing</t>
  </si>
  <si>
    <t>Number of workovers with hydraulic fracturing</t>
  </si>
  <si>
    <t>Storage tanks vented emissions from producted hydrocarbons (crude oil and/or condensate)</t>
  </si>
  <si>
    <t>Barrels of crude oil from non-stripper wells (bbl)</t>
  </si>
  <si>
    <t>Barrels of condensate (bbl)</t>
  </si>
  <si>
    <t>Reciprocating compressor rod packing venting</t>
  </si>
  <si>
    <t>Number of wellhead compressors</t>
  </si>
  <si>
    <t>Centrifugal compressor venting</t>
  </si>
  <si>
    <t>Dehydrator vents</t>
  </si>
  <si>
    <t>Total natural gas produced in, Bcf/year</t>
  </si>
  <si>
    <t>Natural gas pneumatic device and pneumatic pump venting</t>
  </si>
  <si>
    <t>Number of producing oil and gas wells</t>
  </si>
  <si>
    <t>Other sources (includes meters/pipeline leaks)</t>
  </si>
  <si>
    <t>Associated gas venting from produced hydrocarbons</t>
  </si>
  <si>
    <t>Barrels of crude oil produced (bbl)</t>
  </si>
  <si>
    <t>Estimated average Gas-to-Oil Ratio (Mcf/bbl)</t>
  </si>
  <si>
    <t>Combustion emissions:</t>
  </si>
  <si>
    <t>Associated gas flaring from produced hydrocarbons</t>
  </si>
  <si>
    <t>Annual volume of associated gas to flare (MMcf)</t>
  </si>
  <si>
    <t>Flare stack emissions</t>
  </si>
  <si>
    <t>Number of completion flares**</t>
  </si>
  <si>
    <t>Annual volume of gas flared for facility (Mcf)***</t>
  </si>
  <si>
    <t xml:space="preserve">     Workover equipment (only for re-fracturing wells)</t>
  </si>
  <si>
    <r>
      <t xml:space="preserve">Number of </t>
    </r>
    <r>
      <rPr>
        <sz val="10"/>
        <color theme="1"/>
        <rFont val="Arial"/>
        <family val="2"/>
      </rPr>
      <t>active</t>
    </r>
    <r>
      <rPr>
        <sz val="10"/>
        <color rgb="FFFF0000"/>
        <rFont val="Arial"/>
        <family val="2"/>
      </rPr>
      <t xml:space="preserve"> </t>
    </r>
    <r>
      <rPr>
        <sz val="10"/>
        <color theme="1"/>
        <rFont val="Arial"/>
        <family val="2"/>
      </rPr>
      <t>drilling rig engines</t>
    </r>
  </si>
  <si>
    <r>
      <t xml:space="preserve">     Wellhead compressors (stationary and portable)***
</t>
    </r>
    <r>
      <rPr>
        <i/>
        <sz val="10"/>
        <color theme="1"/>
        <rFont val="Arial"/>
        <family val="2"/>
      </rPr>
      <t>Only need to enter either total horsepower hours or total number of active wellheads</t>
    </r>
    <r>
      <rPr>
        <sz val="10"/>
        <color theme="1"/>
        <rFont val="Arial"/>
        <family val="2"/>
      </rPr>
      <t xml:space="preserve">  </t>
    </r>
  </si>
  <si>
    <t>Total million horsepower hours for all active wellhead compressors in one year (MMHPhr)</t>
  </si>
  <si>
    <t>Total number of active wellhead compressors in a year</t>
  </si>
  <si>
    <r>
      <t>Onshore Production Total (metric tons CO</t>
    </r>
    <r>
      <rPr>
        <b/>
        <vertAlign val="subscript"/>
        <sz val="10"/>
        <color theme="1"/>
        <rFont val="Arial"/>
        <family val="2"/>
      </rPr>
      <t>2</t>
    </r>
    <r>
      <rPr>
        <b/>
        <sz val="10"/>
        <color theme="1"/>
        <rFont val="Arial"/>
        <family val="2"/>
      </rPr>
      <t>e/year)</t>
    </r>
  </si>
  <si>
    <t>Please see the "Guidance &amp; Sources" tab for further information on the calculation methodologies of the above emissions sources.</t>
  </si>
  <si>
    <t>Notes:</t>
  </si>
  <si>
    <t>The emissions factors and calculation methods used in this tool are based on publicly available sources including: the Technical Support Document for Subpart W; the U.S. GHG Inventory; and the 2009 API Compendium.  More details can be found in the Guidance and Sources tab of this worksheet. This tool is only a guide to help companies determine their Subpart W applicability.   The results of this tool are not legally binding.  A reporter must make the final determination regarding their Subpart W applicability.</t>
  </si>
  <si>
    <t>*This is defined as the fraction of time the process unit is operating in a calendar year.  For example, a 90% operating factor would be entered as 0.9 because the unit is in operation for 90% of the year.</t>
  </si>
  <si>
    <t>**Units clarification:
1) "Number of completion flares": flaring done to complete a gas well (for natural gas production)
2) "Annual volume of gas flared for facility": associated gas from oil wells (for petroleum production)</t>
  </si>
  <si>
    <t>***These two colored regions represent two different ways to estimate combustion emissions from wellhead compressors (one by HPhr and the other by total # of active wellhead compressors in a year).  Input data is only required for one set of the two colored boxes (yellow and green).  If the total annual horsepower hours are not known, then use the compressor count (i.e., the green fields) to estimate combustion emssions from wellhead compressors.</t>
  </si>
  <si>
    <r>
      <t xml:space="preserve">Applicability Tool Disclaimer
</t>
    </r>
    <r>
      <rPr>
        <sz val="10"/>
        <color theme="1"/>
        <rFont val="Arial"/>
        <family val="2"/>
      </rPr>
      <t>The content provided in the applicability tool is intended solely as compliance assistance for potential reporters to aid in assessing whether they are required to report under the Greenhouse Gas Mandatory Reporting Rule. Any variation between the rule and the information provided in this tool is unintentional, and, in the case of such variations, the requirements of the rule govern. The applicability tool and its contents do not constitute rulemaking or a decision by EPA and may not be relied upon to create a substantive or procedural right or benefit enforceable by law, or in equity, by any person. While this tool is designed to help potential reporters comply with the rule, compliance with all Federal, State, and Local laws and regulations remains the sole responsibility of each facility owner or operator subject to those laws and regulations. Use of this tool does not constitute an assessment by EPA of the applicability of the rule to any particular facility. In any particular case, EPA will make its assessment by applying the law and regulations to the specific facts of the case. No information entered by the user is maintained by EPA, and any results generated by the applicability tool, along with additional</t>
    </r>
    <r>
      <rPr>
        <sz val="10"/>
        <color theme="1"/>
        <rFont val="Arial"/>
        <family val="2"/>
      </rPr>
      <t xml:space="preserve">
information entered by the user, do not constitute a submission for purposes of compliance with the rule.</t>
    </r>
  </si>
  <si>
    <t>Guidance for Onshore Petroleum &amp; Natural Gas Production Tool (Subpart W)</t>
  </si>
  <si>
    <t>This sheet provides details on the data sources, equations and emission calculation methodologies, and conversions used in this screening tool.</t>
  </si>
  <si>
    <t>Emission Source</t>
  </si>
  <si>
    <t>Activity Factor (Input Required)</t>
  </si>
  <si>
    <t>General Methodology/Equation</t>
  </si>
  <si>
    <t>Default Methane Emission Factor</t>
  </si>
  <si>
    <t>Methane EF Units</t>
  </si>
  <si>
    <t>Methane EF Sources</t>
  </si>
  <si>
    <t>Methane EF Comments</t>
  </si>
  <si>
    <r>
      <t>Default CO</t>
    </r>
    <r>
      <rPr>
        <b/>
        <vertAlign val="subscript"/>
        <sz val="12"/>
        <color rgb="FFFFFFFF"/>
        <rFont val="Arial"/>
        <family val="2"/>
      </rPr>
      <t>2</t>
    </r>
    <r>
      <rPr>
        <b/>
        <sz val="12"/>
        <color rgb="FFFFFFFF"/>
        <rFont val="Arial"/>
        <family val="2"/>
      </rPr>
      <t xml:space="preserve"> Emission Factor</t>
    </r>
  </si>
  <si>
    <r>
      <t>CO</t>
    </r>
    <r>
      <rPr>
        <b/>
        <vertAlign val="subscript"/>
        <sz val="12"/>
        <color rgb="FFFFFFFF"/>
        <rFont val="Arial"/>
        <family val="2"/>
      </rPr>
      <t>2</t>
    </r>
    <r>
      <rPr>
        <b/>
        <sz val="12"/>
        <color rgb="FFFFFFFF"/>
        <rFont val="Arial"/>
        <family val="2"/>
      </rPr>
      <t xml:space="preserve"> EF Units</t>
    </r>
  </si>
  <si>
    <r>
      <t>CO</t>
    </r>
    <r>
      <rPr>
        <b/>
        <vertAlign val="subscript"/>
        <sz val="12"/>
        <color rgb="FFFFFFFF"/>
        <rFont val="Arial"/>
        <family val="2"/>
      </rPr>
      <t>2</t>
    </r>
    <r>
      <rPr>
        <b/>
        <sz val="12"/>
        <color rgb="FFFFFFFF"/>
        <rFont val="Arial"/>
        <family val="2"/>
      </rPr>
      <t xml:space="preserve"> EF Sources</t>
    </r>
  </si>
  <si>
    <r>
      <t>CO</t>
    </r>
    <r>
      <rPr>
        <b/>
        <vertAlign val="subscript"/>
        <sz val="12"/>
        <color rgb="FFFFFFFF"/>
        <rFont val="Arial"/>
        <family val="2"/>
      </rPr>
      <t>2</t>
    </r>
    <r>
      <rPr>
        <b/>
        <sz val="12"/>
        <color rgb="FFFFFFFF"/>
        <rFont val="Arial"/>
        <family val="2"/>
      </rPr>
      <t xml:space="preserve"> EF Comments</t>
    </r>
  </si>
  <si>
    <r>
      <t xml:space="preserve">Natural gas pneumatic device venting
</t>
    </r>
    <r>
      <rPr>
        <sz val="10"/>
        <color theme="1"/>
        <rFont val="Arial"/>
        <family val="2"/>
      </rPr>
      <t>98.232 (c)(1)</t>
    </r>
  </si>
  <si>
    <t>Number of Wells</t>
  </si>
  <si>
    <r>
      <t>CH</t>
    </r>
    <r>
      <rPr>
        <vertAlign val="subscript"/>
        <sz val="10"/>
        <color theme="1"/>
        <rFont val="Arial"/>
        <family val="2"/>
      </rPr>
      <t>4</t>
    </r>
    <r>
      <rPr>
        <sz val="10"/>
        <color theme="1"/>
        <rFont val="Arial"/>
        <family val="2"/>
      </rPr>
      <t xml:space="preserve"> EF * Number of Producing Wells</t>
    </r>
  </si>
  <si>
    <r>
      <t>scfd CH</t>
    </r>
    <r>
      <rPr>
        <vertAlign val="subscript"/>
        <sz val="10"/>
        <color theme="1"/>
        <rFont val="Arial"/>
        <family val="2"/>
      </rPr>
      <t>4</t>
    </r>
    <r>
      <rPr>
        <sz val="10"/>
        <color theme="1"/>
        <rFont val="Arial"/>
        <family val="2"/>
      </rPr>
      <t>/well</t>
    </r>
  </si>
  <si>
    <t>GRI - 94 - Methane Emissions from the Natural Gas Industry, Volume 12, page no. 48, table 4-6</t>
  </si>
  <si>
    <t>From NG Inventory: all regions; 433,257 PDs, 455,015 Non-associated Gas Wells (NG Inventory); 395,631 PDs, 525,000 Oil Wells (Pet Inventory)</t>
  </si>
  <si>
    <t>N/A</t>
  </si>
  <si>
    <r>
      <t xml:space="preserve">Natural gas driven pneumatic pump venting
</t>
    </r>
    <r>
      <rPr>
        <sz val="10"/>
        <color theme="1"/>
        <rFont val="Arial"/>
        <family val="2"/>
      </rPr>
      <t>98.232 (c)(3)</t>
    </r>
  </si>
  <si>
    <r>
      <t>scfd CH</t>
    </r>
    <r>
      <rPr>
        <vertAlign val="subscript"/>
        <sz val="10"/>
        <color theme="1"/>
        <rFont val="Arial"/>
        <family val="2"/>
      </rPr>
      <t>4</t>
    </r>
    <r>
      <rPr>
        <sz val="10"/>
        <color theme="1"/>
        <rFont val="Arial"/>
        <family val="2"/>
      </rPr>
      <t>/pump</t>
    </r>
  </si>
  <si>
    <t>GRI - 94 - Methane Emissions from the Natural Gas Industry, Volume 13, page no. 27</t>
  </si>
  <si>
    <t>From NG Inventory: all regions; 1579 Pneumatic Pumps, 455,015 Non-associated Gas Wells; 525,000 Oil Wells</t>
  </si>
  <si>
    <r>
      <t xml:space="preserve">Well venting for liquids unloading
</t>
    </r>
    <r>
      <rPr>
        <sz val="10"/>
        <color theme="1"/>
        <rFont val="Arial"/>
        <family val="2"/>
      </rPr>
      <t>98.232 (c)(4)</t>
    </r>
  </si>
  <si>
    <r>
      <t>CH</t>
    </r>
    <r>
      <rPr>
        <vertAlign val="subscript"/>
        <sz val="10"/>
        <color theme="1"/>
        <rFont val="Arial"/>
        <family val="2"/>
      </rPr>
      <t>4</t>
    </r>
    <r>
      <rPr>
        <sz val="10"/>
        <color theme="1"/>
        <rFont val="Arial"/>
        <family val="2"/>
      </rPr>
      <t xml:space="preserve"> EF * Number of wells (w/o plungers) unloaded</t>
    </r>
  </si>
  <si>
    <r>
      <t>Mcf CH</t>
    </r>
    <r>
      <rPr>
        <vertAlign val="subscript"/>
        <sz val="10"/>
        <color theme="1"/>
        <rFont val="Arial"/>
        <family val="2"/>
      </rPr>
      <t>4</t>
    </r>
    <r>
      <rPr>
        <sz val="10"/>
        <color theme="1"/>
        <rFont val="Arial"/>
        <family val="2"/>
      </rPr>
      <t>/well</t>
    </r>
  </si>
  <si>
    <t>EPA.  Background Technical Support Document (docket # EPA-HQ-OAR-2009-0923) for Subpart W. &lt;www.regulations.gov&gt;. EPA revised.</t>
  </si>
  <si>
    <t>App B. pg 84-85 (PDF pg 84-85)
Methane EF was extrapolated from sample data to entire U.S.  Units: per "conventional" gas well.  EF doesn't include reductions from control methods such as plunger lifts</t>
  </si>
  <si>
    <r>
      <t xml:space="preserve">Gas well venting during well completions with hydraulic fracturing
</t>
    </r>
    <r>
      <rPr>
        <sz val="10"/>
        <color theme="1"/>
        <rFont val="Arial"/>
        <family val="2"/>
      </rPr>
      <t>98.232 (c)(6)</t>
    </r>
  </si>
  <si>
    <t>Number of completions with hydraulic fracturing</t>
  </si>
  <si>
    <r>
      <t>CH</t>
    </r>
    <r>
      <rPr>
        <vertAlign val="subscript"/>
        <sz val="10"/>
        <color theme="1"/>
        <rFont val="Arial"/>
        <family val="2"/>
      </rPr>
      <t>4</t>
    </r>
    <r>
      <rPr>
        <sz val="10"/>
        <color theme="1"/>
        <rFont val="Arial"/>
        <family val="2"/>
      </rPr>
      <t xml:space="preserve"> EF * Number of completions with hydraulic fracturing</t>
    </r>
  </si>
  <si>
    <r>
      <t>Mcf CH</t>
    </r>
    <r>
      <rPr>
        <vertAlign val="subscript"/>
        <sz val="10"/>
        <color theme="1"/>
        <rFont val="Arial"/>
        <family val="2"/>
      </rPr>
      <t>4</t>
    </r>
    <r>
      <rPr>
        <sz val="10"/>
        <color theme="1"/>
        <rFont val="Arial"/>
        <family val="2"/>
      </rPr>
      <t>/completion</t>
    </r>
  </si>
  <si>
    <t>App B. Exhibit B-5. pg 82 (PDF pg 82)</t>
  </si>
  <si>
    <r>
      <t xml:space="preserve">Gas well venting during well workovers with hydraulic fracturing
</t>
    </r>
    <r>
      <rPr>
        <sz val="10"/>
        <color theme="1"/>
        <rFont val="Arial"/>
        <family val="2"/>
      </rPr>
      <t>98.232 (c)(8)</t>
    </r>
  </si>
  <si>
    <r>
      <t>CH</t>
    </r>
    <r>
      <rPr>
        <vertAlign val="subscript"/>
        <sz val="10"/>
        <color theme="1"/>
        <rFont val="Arial"/>
        <family val="2"/>
      </rPr>
      <t>4</t>
    </r>
    <r>
      <rPr>
        <sz val="10"/>
        <color theme="1"/>
        <rFont val="Arial"/>
        <family val="2"/>
      </rPr>
      <t xml:space="preserve"> EF * Number of workovers with hydraulic fracturing</t>
    </r>
  </si>
  <si>
    <r>
      <t>Mcf CH</t>
    </r>
    <r>
      <rPr>
        <vertAlign val="subscript"/>
        <sz val="10"/>
        <color theme="1"/>
        <rFont val="Arial"/>
        <family val="2"/>
      </rPr>
      <t>4</t>
    </r>
    <r>
      <rPr>
        <sz val="10"/>
        <color theme="1"/>
        <rFont val="Arial"/>
        <family val="2"/>
      </rPr>
      <t>/workover</t>
    </r>
  </si>
  <si>
    <r>
      <t xml:space="preserve">Flare stack emissions
</t>
    </r>
    <r>
      <rPr>
        <sz val="10"/>
        <color theme="1"/>
        <rFont val="Arial"/>
        <family val="2"/>
      </rPr>
      <t>98.232 (c)(9)</t>
    </r>
  </si>
  <si>
    <t>Number of completion flares</t>
  </si>
  <si>
    <r>
      <t>(CH</t>
    </r>
    <r>
      <rPr>
        <vertAlign val="subscript"/>
        <sz val="10"/>
        <color theme="1"/>
        <rFont val="Arial"/>
        <family val="2"/>
      </rPr>
      <t>4</t>
    </r>
    <r>
      <rPr>
        <sz val="10"/>
        <color theme="1"/>
        <rFont val="Arial"/>
        <family val="2"/>
      </rPr>
      <t xml:space="preserve"> EF + CO</t>
    </r>
    <r>
      <rPr>
        <vertAlign val="subscript"/>
        <sz val="10"/>
        <color theme="1"/>
        <rFont val="Arial"/>
        <family val="2"/>
      </rPr>
      <t>2</t>
    </r>
    <r>
      <rPr>
        <sz val="10"/>
        <color theme="1"/>
        <rFont val="Arial"/>
        <family val="2"/>
      </rPr>
      <t xml:space="preserve"> EF) * Number of completion flares</t>
    </r>
  </si>
  <si>
    <r>
      <t>scf CH</t>
    </r>
    <r>
      <rPr>
        <vertAlign val="subscript"/>
        <sz val="10"/>
        <color theme="1"/>
        <rFont val="Arial"/>
        <family val="2"/>
      </rPr>
      <t>4</t>
    </r>
    <r>
      <rPr>
        <sz val="10"/>
        <color theme="1"/>
        <rFont val="Arial"/>
        <family val="2"/>
      </rPr>
      <t>/completion</t>
    </r>
  </si>
  <si>
    <t>GRI - 94 - Methane Emissions from the Natural Gas Industry, Volume 6, page no. 18, Table 4-2.</t>
  </si>
  <si>
    <t>From NG Inventory: all regions, "Completion flaring"</t>
  </si>
  <si>
    <r>
      <t>scf CO</t>
    </r>
    <r>
      <rPr>
        <vertAlign val="subscript"/>
        <sz val="10"/>
        <color theme="1"/>
        <rFont val="Arial"/>
        <family val="2"/>
      </rPr>
      <t>2</t>
    </r>
    <r>
      <rPr>
        <sz val="10"/>
        <color theme="1"/>
        <rFont val="Arial"/>
        <family val="2"/>
      </rPr>
      <t>/completion</t>
    </r>
  </si>
  <si>
    <t>GRI - 94 - Methane Emissions from the Natural Gas Industry, Volume 6, page no. 18, table 4-2</t>
  </si>
  <si>
    <t>From NG Inventory: all regions, "Completion flaring"
Corrected for 98% combustion efficiency</t>
  </si>
  <si>
    <t>Annual volume of gas flared for facility (Mcf)</t>
  </si>
  <si>
    <r>
      <t>(CH</t>
    </r>
    <r>
      <rPr>
        <vertAlign val="subscript"/>
        <sz val="10"/>
        <color theme="1"/>
        <rFont val="Arial"/>
        <family val="2"/>
      </rPr>
      <t>4</t>
    </r>
    <r>
      <rPr>
        <sz val="10"/>
        <color theme="1"/>
        <rFont val="Arial"/>
        <family val="2"/>
      </rPr>
      <t xml:space="preserve"> EF + CO</t>
    </r>
    <r>
      <rPr>
        <vertAlign val="subscript"/>
        <sz val="10"/>
        <color theme="1"/>
        <rFont val="Arial"/>
        <family val="2"/>
      </rPr>
      <t>2</t>
    </r>
    <r>
      <rPr>
        <sz val="10"/>
        <color theme="1"/>
        <rFont val="Arial"/>
        <family val="2"/>
      </rPr>
      <t xml:space="preserve"> EF) * Annual volume of gas flared for facility (Mcf)</t>
    </r>
  </si>
  <si>
    <r>
      <t>scf CH</t>
    </r>
    <r>
      <rPr>
        <vertAlign val="subscript"/>
        <sz val="10"/>
        <color theme="1"/>
        <rFont val="Arial"/>
        <family val="2"/>
      </rPr>
      <t>4</t>
    </r>
    <r>
      <rPr>
        <sz val="10"/>
        <color theme="1"/>
        <rFont val="Arial"/>
        <family val="2"/>
      </rPr>
      <t xml:space="preserve"> per Mcf gas flared</t>
    </r>
  </si>
  <si>
    <t>CAPP, A Detailed Invetory of CH4 and VOC Emissions from Upstream Oil &amp; Gas Operations in Alberta 3/92, Vol.II</t>
  </si>
  <si>
    <t>From Petroleum Inventory: "Flares"</t>
  </si>
  <si>
    <r>
      <t>scf C0</t>
    </r>
    <r>
      <rPr>
        <vertAlign val="subscript"/>
        <sz val="10"/>
        <color theme="1"/>
        <rFont val="Arial"/>
        <family val="2"/>
      </rPr>
      <t>2</t>
    </r>
    <r>
      <rPr>
        <sz val="10"/>
        <color theme="1"/>
        <rFont val="Arial"/>
        <family val="2"/>
      </rPr>
      <t xml:space="preserve"> per Mcf gas flared</t>
    </r>
  </si>
  <si>
    <r>
      <t>CAPP, A Detailed Invetory of CH</t>
    </r>
    <r>
      <rPr>
        <vertAlign val="subscript"/>
        <sz val="10"/>
        <color theme="1"/>
        <rFont val="Arial"/>
        <family val="2"/>
      </rPr>
      <t>4</t>
    </r>
    <r>
      <rPr>
        <sz val="10"/>
        <color theme="1"/>
        <rFont val="Arial"/>
        <family val="2"/>
      </rPr>
      <t xml:space="preserve"> and VOC Emissions from Upstream Oil &amp; Gas Operations in Alberta 3/92, Vol.II</t>
    </r>
  </si>
  <si>
    <t>From Petroleum Inventory: "Flares"
Corrected for 98% combustion efficiency</t>
  </si>
  <si>
    <r>
      <t xml:space="preserve">Storage tanks vented emissions from produced hydrocarbons
</t>
    </r>
    <r>
      <rPr>
        <sz val="10"/>
        <color theme="1"/>
        <rFont val="Arial"/>
        <family val="2"/>
      </rPr>
      <t>98.232 (c)(10)</t>
    </r>
  </si>
  <si>
    <t xml:space="preserve">     Crude Oil Storage Tanks</t>
  </si>
  <si>
    <r>
      <t>CH</t>
    </r>
    <r>
      <rPr>
        <vertAlign val="subscript"/>
        <sz val="10"/>
        <color theme="1"/>
        <rFont val="Arial"/>
        <family val="2"/>
      </rPr>
      <t>4</t>
    </r>
    <r>
      <rPr>
        <sz val="10"/>
        <color theme="1"/>
        <rFont val="Arial"/>
        <family val="2"/>
      </rPr>
      <t xml:space="preserve"> EF * Barrels of oil produced</t>
    </r>
  </si>
  <si>
    <r>
      <t>scf of CH</t>
    </r>
    <r>
      <rPr>
        <vertAlign val="subscript"/>
        <sz val="10"/>
        <color theme="1"/>
        <rFont val="Arial"/>
        <family val="2"/>
      </rPr>
      <t>4</t>
    </r>
    <r>
      <rPr>
        <sz val="10"/>
        <color theme="1"/>
        <rFont val="Arial"/>
        <family val="2"/>
      </rPr>
      <t>/bbl crude</t>
    </r>
  </si>
  <si>
    <t>TankCALC:
13955:
5.28 scf/bbl is the average from API TankCalc Runs for oils with API gravity &lt; 45.
The earlier value 18 scf/bbl was an average for oils of all gravities (API 17 thru API 66). This lighter oils at API 45 and above are listed as condensate tanks and are accoutned for in the Gas model.</t>
  </si>
  <si>
    <t>From Petroleum Inventory: vented source "Oil Tanks"</t>
  </si>
  <si>
    <t xml:space="preserve">     Condensate Storage Tanks</t>
  </si>
  <si>
    <r>
      <t>CH</t>
    </r>
    <r>
      <rPr>
        <vertAlign val="subscript"/>
        <sz val="10"/>
        <color theme="1"/>
        <rFont val="Arial"/>
        <family val="2"/>
      </rPr>
      <t>4</t>
    </r>
    <r>
      <rPr>
        <sz val="10"/>
        <color theme="1"/>
        <rFont val="Arial"/>
        <family val="2"/>
      </rPr>
      <t xml:space="preserve"> EF * Barrels of condensate</t>
    </r>
  </si>
  <si>
    <r>
      <t>scf CH</t>
    </r>
    <r>
      <rPr>
        <vertAlign val="subscript"/>
        <sz val="10"/>
        <color theme="1"/>
        <rFont val="Arial"/>
        <family val="2"/>
      </rPr>
      <t>4</t>
    </r>
    <r>
      <rPr>
        <sz val="10"/>
        <color theme="1"/>
        <rFont val="Arial"/>
        <family val="2"/>
      </rPr>
      <t>/bbl</t>
    </r>
  </si>
  <si>
    <t>Calculated from EP&amp;P/ API Tank Calc Runs as weighted average of emissions rate for gravity range API 45 and above.</t>
  </si>
  <si>
    <t>From NG Inventory: all regions, "Condensate Tanks without Control Devices"</t>
  </si>
  <si>
    <r>
      <t xml:space="preserve">Reciprocating compressor rod packing venting
</t>
    </r>
    <r>
      <rPr>
        <sz val="10"/>
        <color theme="1"/>
        <rFont val="Arial"/>
        <family val="2"/>
      </rPr>
      <t>98.232 (c)(11)Reciprocating compressor rod packing venting</t>
    </r>
    <r>
      <rPr>
        <sz val="10"/>
        <color theme="1"/>
        <rFont val="Arial"/>
        <family val="2"/>
      </rPr>
      <t xml:space="preserve">
</t>
    </r>
    <r>
      <rPr>
        <sz val="10"/>
        <color theme="1"/>
        <rFont val="Arial"/>
        <family val="2"/>
      </rPr>
      <t xml:space="preserve">
98.232 (c)(11)</t>
    </r>
  </si>
  <si>
    <t>Number of wellhead compressors, operating factor</t>
  </si>
  <si>
    <r>
      <t>CH</t>
    </r>
    <r>
      <rPr>
        <vertAlign val="subscript"/>
        <sz val="10"/>
        <color theme="1"/>
        <rFont val="Arial"/>
        <family val="2"/>
      </rPr>
      <t>4</t>
    </r>
    <r>
      <rPr>
        <sz val="10"/>
        <color theme="1"/>
        <rFont val="Arial"/>
        <family val="2"/>
      </rPr>
      <t xml:space="preserve"> EF * Number of wellhead compressors * Operating factorCH</t>
    </r>
    <r>
      <rPr>
        <vertAlign val="subscript"/>
        <sz val="10"/>
        <color theme="1"/>
        <rFont val="Arial"/>
        <family val="2"/>
      </rPr>
      <t>4</t>
    </r>
    <r>
      <rPr>
        <sz val="10"/>
        <color theme="1"/>
        <rFont val="Arial"/>
        <family val="2"/>
      </rPr>
      <t xml:space="preserve"> EF * Number of wellhead compressors * Operating factor</t>
    </r>
  </si>
  <si>
    <r>
      <t>scfd CH</t>
    </r>
    <r>
      <rPr>
        <vertAlign val="subscript"/>
        <sz val="10"/>
        <color theme="1"/>
        <rFont val="Arial"/>
        <family val="2"/>
      </rPr>
      <t>4</t>
    </r>
    <r>
      <rPr>
        <sz val="10"/>
        <color theme="1"/>
        <rFont val="Arial"/>
        <family val="2"/>
      </rPr>
      <t>/compressorscfd CH</t>
    </r>
    <r>
      <rPr>
        <vertAlign val="subscript"/>
        <sz val="10"/>
        <color theme="1"/>
        <rFont val="Arial"/>
        <family val="2"/>
      </rPr>
      <t>4</t>
    </r>
    <r>
      <rPr>
        <sz val="10"/>
        <color theme="1"/>
        <rFont val="Arial"/>
        <family val="2"/>
      </rPr>
      <t>/compressor</t>
    </r>
  </si>
  <si>
    <t>GRI - 96 - Methane Emissions from the Natural Gas Industry, Final Report</t>
  </si>
  <si>
    <t>From NG Inventory: all regions, "Large Reciprocating Comp." EF for conservativeness</t>
  </si>
  <si>
    <r>
      <t xml:space="preserve">Well testing venting and flaring
</t>
    </r>
    <r>
      <rPr>
        <sz val="10"/>
        <color theme="1"/>
        <rFont val="Arial"/>
        <family val="2"/>
      </rPr>
      <t>98.232 (c)(12)Well testing venting and flaring</t>
    </r>
    <r>
      <rPr>
        <sz val="10"/>
        <color theme="1"/>
        <rFont val="Arial"/>
        <family val="2"/>
      </rPr>
      <t xml:space="preserve">
</t>
    </r>
    <r>
      <rPr>
        <sz val="10"/>
        <color theme="1"/>
        <rFont val="Arial"/>
        <family val="2"/>
      </rPr>
      <t xml:space="preserve">
98.232 (c)(12)</t>
    </r>
  </si>
  <si>
    <t>N/A (using existing data to estimate)</t>
  </si>
  <si>
    <r>
      <t>Grouped into "Other sources (includes meters/pipeline leaks)".  Calculated based on number of producing oil and gas wells, along with 2008 U.S. CH</t>
    </r>
    <r>
      <rPr>
        <vertAlign val="subscript"/>
        <sz val="10"/>
        <color theme="1"/>
        <rFont val="Arial"/>
        <family val="2"/>
      </rPr>
      <t>4</t>
    </r>
    <r>
      <rPr>
        <sz val="10"/>
        <color theme="1"/>
        <rFont val="Arial"/>
        <family val="2"/>
      </rPr>
      <t xml:space="preserve"> production emissions.Grouped into "Other sources (includes meters/pipeline leaks)".  Calculated based on number of producing oil and gas wells, along with 2008 U.S. CH</t>
    </r>
    <r>
      <rPr>
        <vertAlign val="subscript"/>
        <sz val="10"/>
        <color theme="1"/>
        <rFont val="Arial"/>
        <family val="2"/>
      </rPr>
      <t>4</t>
    </r>
    <r>
      <rPr>
        <sz val="10"/>
        <color theme="1"/>
        <rFont val="Arial"/>
        <family val="2"/>
      </rPr>
      <t xml:space="preserve"> production emissions.</t>
    </r>
  </si>
  <si>
    <t>No EF used</t>
  </si>
  <si>
    <r>
      <t xml:space="preserve">Associated gas venting and flaring from produced hydrocarbons
</t>
    </r>
    <r>
      <rPr>
        <sz val="10"/>
        <color theme="1"/>
        <rFont val="Arial"/>
        <family val="2"/>
      </rPr>
      <t>98.232 (c)(13)Associated gas venting and flaring from produced hydrocarbons</t>
    </r>
    <r>
      <rPr>
        <sz val="10"/>
        <color theme="1"/>
        <rFont val="Arial"/>
        <family val="2"/>
      </rPr>
      <t xml:space="preserve">
</t>
    </r>
    <r>
      <rPr>
        <sz val="10"/>
        <color theme="1"/>
        <rFont val="Arial"/>
        <family val="2"/>
      </rPr>
      <t xml:space="preserve">
98.232 (c)(13)</t>
    </r>
  </si>
  <si>
    <t>Annual volume associated gas to flare (MMcf)</t>
  </si>
  <si>
    <r>
      <t>(CH</t>
    </r>
    <r>
      <rPr>
        <vertAlign val="subscript"/>
        <sz val="10"/>
        <color theme="1"/>
        <rFont val="Arial"/>
        <family val="2"/>
      </rPr>
      <t>4</t>
    </r>
    <r>
      <rPr>
        <sz val="10"/>
        <color theme="1"/>
        <rFont val="Arial"/>
        <family val="2"/>
      </rPr>
      <t xml:space="preserve"> EF + CO</t>
    </r>
    <r>
      <rPr>
        <vertAlign val="subscript"/>
        <sz val="10"/>
        <color theme="1"/>
        <rFont val="Arial"/>
        <family val="2"/>
      </rPr>
      <t>2</t>
    </r>
    <r>
      <rPr>
        <sz val="10"/>
        <color theme="1"/>
        <rFont val="Arial"/>
        <family val="2"/>
      </rPr>
      <t xml:space="preserve"> EF) * Annual volume associated gas to flare(CH</t>
    </r>
    <r>
      <rPr>
        <vertAlign val="subscript"/>
        <sz val="10"/>
        <color theme="1"/>
        <rFont val="Arial"/>
        <family val="2"/>
      </rPr>
      <t>4</t>
    </r>
    <r>
      <rPr>
        <sz val="10"/>
        <color theme="1"/>
        <rFont val="Arial"/>
        <family val="2"/>
      </rPr>
      <t xml:space="preserve"> EF + CO</t>
    </r>
    <r>
      <rPr>
        <vertAlign val="subscript"/>
        <sz val="10"/>
        <color theme="1"/>
        <rFont val="Arial"/>
        <family val="2"/>
      </rPr>
      <t>2</t>
    </r>
    <r>
      <rPr>
        <sz val="10"/>
        <color theme="1"/>
        <rFont val="Arial"/>
        <family val="2"/>
      </rPr>
      <t xml:space="preserve"> EF) * Annual volume associated gas to flare</t>
    </r>
  </si>
  <si>
    <r>
      <t>tCO</t>
    </r>
    <r>
      <rPr>
        <vertAlign val="subscript"/>
        <sz val="10"/>
        <color theme="1"/>
        <rFont val="Arial"/>
        <family val="2"/>
      </rPr>
      <t>2</t>
    </r>
    <r>
      <rPr>
        <sz val="10"/>
        <color theme="1"/>
        <rFont val="Arial"/>
        <family val="2"/>
      </rPr>
      <t>e/MMcf gas to flaretCO</t>
    </r>
    <r>
      <rPr>
        <vertAlign val="subscript"/>
        <sz val="10"/>
        <color theme="1"/>
        <rFont val="Arial"/>
        <family val="2"/>
      </rPr>
      <t>2</t>
    </r>
    <r>
      <rPr>
        <sz val="10"/>
        <color theme="1"/>
        <rFont val="Arial"/>
        <family val="2"/>
      </rPr>
      <t>e/MMcf gas to flare</t>
    </r>
  </si>
  <si>
    <t>98% flaring efficiency &amp; 78.8% CH4 in production sector gas
GRI - 94 - Methane Emissions from the Natural Gas Industry, Volume 6, page no. 27 (PDF pg 37), Table 5-4.98% flaring efficiency &amp; 78.8% CH4 in production sector gas
GRI - 94 - Methane Emissions from the Natural Gas Industry, Volume 6, page no. 27 (PDF pg 37), Table 5-4.</t>
  </si>
  <si>
    <r>
      <t>From NG Inventory: Production - Onshore; "CO</t>
    </r>
    <r>
      <rPr>
        <vertAlign val="subscript"/>
        <sz val="10"/>
        <color theme="1"/>
        <rFont val="Arial"/>
        <family val="2"/>
      </rPr>
      <t>2</t>
    </r>
    <r>
      <rPr>
        <sz val="10"/>
        <color theme="1"/>
        <rFont val="Arial"/>
        <family val="2"/>
      </rPr>
      <t xml:space="preserve"> Emission Factor for Flared Natural Gas"</t>
    </r>
    <r>
      <rPr>
        <sz val="10"/>
        <color theme="1"/>
        <rFont val="Arial"/>
        <family val="2"/>
      </rPr>
      <t xml:space="preserve">
</t>
    </r>
    <r>
      <rPr>
        <sz val="10"/>
        <color theme="1"/>
        <rFont val="Arial"/>
        <family val="2"/>
      </rPr>
      <t xml:space="preserve">
Tg CO2 Eq = teragrams (10</t>
    </r>
    <r>
      <rPr>
        <vertAlign val="superscript"/>
        <sz val="10"/>
        <color theme="1"/>
        <rFont val="Arial"/>
        <family val="2"/>
      </rPr>
      <t>12</t>
    </r>
    <r>
      <rPr>
        <sz val="10"/>
        <color theme="1"/>
        <rFont val="Arial"/>
        <family val="2"/>
      </rPr>
      <t>) CO</t>
    </r>
    <r>
      <rPr>
        <vertAlign val="subscript"/>
        <sz val="10"/>
        <color theme="1"/>
        <rFont val="Arial"/>
        <family val="2"/>
      </rPr>
      <t>2</t>
    </r>
    <r>
      <rPr>
        <sz val="10"/>
        <color theme="1"/>
        <rFont val="Arial"/>
        <family val="2"/>
      </rPr>
      <t xml:space="preserve"> equivalent</t>
    </r>
    <r>
      <rPr>
        <sz val="10"/>
        <color theme="1"/>
        <rFont val="Arial"/>
        <family val="2"/>
      </rPr>
      <t xml:space="preserve">
QBTU = quadrillion (10</t>
    </r>
    <r>
      <rPr>
        <vertAlign val="superscript"/>
        <sz val="10"/>
        <color theme="1"/>
        <rFont val="Arial"/>
        <family val="2"/>
      </rPr>
      <t>15</t>
    </r>
    <r>
      <rPr>
        <sz val="10"/>
        <color theme="1"/>
        <rFont val="Arial"/>
        <family val="2"/>
      </rPr>
      <t>) BTUs</t>
    </r>
    <r>
      <rPr>
        <sz val="10"/>
        <color theme="1"/>
        <rFont val="Arial"/>
        <family val="2"/>
      </rPr>
      <t xml:space="preserve">
</t>
    </r>
    <r>
      <rPr>
        <sz val="10"/>
        <color theme="1"/>
        <rFont val="Arial"/>
        <family val="2"/>
      </rPr>
      <t xml:space="preserve">
Assume:</t>
    </r>
    <r>
      <rPr>
        <sz val="10"/>
        <color theme="1"/>
        <rFont val="Arial"/>
        <family val="2"/>
      </rPr>
      <t xml:space="preserve">
1) Flaring emissions are assumed to be greater than venting emissions (i.e., venting emissions are excluded)</t>
    </r>
    <r>
      <rPr>
        <sz val="10"/>
        <color theme="1"/>
        <rFont val="Arial"/>
        <family val="2"/>
      </rPr>
      <t xml:space="preserve">
2) Calculated assuming 98% combustion efficiency</t>
    </r>
    <r>
      <rPr>
        <sz val="10"/>
        <color theme="1"/>
        <rFont val="Arial"/>
        <family val="2"/>
      </rPr>
      <t xml:space="preserve">
3) 78.8% CH4 in the input gas (for production sector)From NG Inventory: Production - Onshore; "CO</t>
    </r>
    <r>
      <rPr>
        <vertAlign val="subscript"/>
        <sz val="10"/>
        <color theme="1"/>
        <rFont val="Arial"/>
        <family val="2"/>
      </rPr>
      <t>2</t>
    </r>
    <r>
      <rPr>
        <sz val="10"/>
        <color theme="1"/>
        <rFont val="Arial"/>
        <family val="2"/>
      </rPr>
      <t xml:space="preserve"> Emission Factor for Flared Natural Gas"</t>
    </r>
    <r>
      <rPr>
        <sz val="10"/>
        <color theme="1"/>
        <rFont val="Arial"/>
        <family val="2"/>
      </rPr>
      <t xml:space="preserve">
</t>
    </r>
    <r>
      <rPr>
        <sz val="10"/>
        <color theme="1"/>
        <rFont val="Arial"/>
        <family val="2"/>
      </rPr>
      <t xml:space="preserve">
Tg CO2 Eq = teragrams (10</t>
    </r>
    <r>
      <rPr>
        <vertAlign val="superscript"/>
        <sz val="10"/>
        <color theme="1"/>
        <rFont val="Arial"/>
        <family val="2"/>
      </rPr>
      <t>12</t>
    </r>
    <r>
      <rPr>
        <sz val="10"/>
        <color theme="1"/>
        <rFont val="Arial"/>
        <family val="2"/>
      </rPr>
      <t>) CO</t>
    </r>
    <r>
      <rPr>
        <vertAlign val="subscript"/>
        <sz val="10"/>
        <color theme="1"/>
        <rFont val="Arial"/>
        <family val="2"/>
      </rPr>
      <t>2</t>
    </r>
    <r>
      <rPr>
        <sz val="10"/>
        <color theme="1"/>
        <rFont val="Arial"/>
        <family val="2"/>
      </rPr>
      <t xml:space="preserve"> equivalent</t>
    </r>
    <r>
      <rPr>
        <sz val="10"/>
        <color theme="1"/>
        <rFont val="Arial"/>
        <family val="2"/>
      </rPr>
      <t xml:space="preserve">
QBTU = quadrillion (10</t>
    </r>
    <r>
      <rPr>
        <vertAlign val="superscript"/>
        <sz val="10"/>
        <color theme="1"/>
        <rFont val="Arial"/>
        <family val="2"/>
      </rPr>
      <t>15</t>
    </r>
    <r>
      <rPr>
        <sz val="10"/>
        <color theme="1"/>
        <rFont val="Arial"/>
        <family val="2"/>
      </rPr>
      <t>) BTUs</t>
    </r>
    <r>
      <rPr>
        <sz val="10"/>
        <color theme="1"/>
        <rFont val="Arial"/>
        <family val="2"/>
      </rPr>
      <t xml:space="preserve">
</t>
    </r>
    <r>
      <rPr>
        <sz val="10"/>
        <color theme="1"/>
        <rFont val="Arial"/>
        <family val="2"/>
      </rPr>
      <t xml:space="preserve">
Assume:</t>
    </r>
    <r>
      <rPr>
        <sz val="10"/>
        <color theme="1"/>
        <rFont val="Arial"/>
        <family val="2"/>
      </rPr>
      <t xml:space="preserve">
1) Flaring emissions are assumed to be greater than venting emissions (i.e., venting emissions are excluded)</t>
    </r>
    <r>
      <rPr>
        <sz val="10"/>
        <color theme="1"/>
        <rFont val="Arial"/>
        <family val="2"/>
      </rPr>
      <t xml:space="preserve">
2) Calculated assuming 98% combustion efficiency</t>
    </r>
    <r>
      <rPr>
        <sz val="10"/>
        <color theme="1"/>
        <rFont val="Arial"/>
        <family val="2"/>
      </rPr>
      <t xml:space="preserve">
3) 78.8% CH4 in the input gas (for production sector)</t>
    </r>
  </si>
  <si>
    <r>
      <t>54.71 Tg CO</t>
    </r>
    <r>
      <rPr>
        <vertAlign val="subscript"/>
        <sz val="10"/>
        <color theme="1"/>
        <rFont val="Arial"/>
        <family val="2"/>
      </rPr>
      <t>2</t>
    </r>
    <r>
      <rPr>
        <sz val="10"/>
        <color theme="1"/>
        <rFont val="Arial"/>
        <family val="2"/>
      </rPr>
      <t>e/QBTU</t>
    </r>
    <r>
      <rPr>
        <sz val="10"/>
        <color theme="1"/>
        <rFont val="Arial"/>
        <family val="2"/>
      </rPr>
      <t xml:space="preserve">
</t>
    </r>
    <r>
      <rPr>
        <sz val="10"/>
        <color theme="1"/>
        <rFont val="Arial"/>
        <family val="2"/>
      </rPr>
      <t xml:space="preserve">
Emission Factor taken from EIA's 1996 Greenhouse Gas Inventory and confirmed with Art Rypinski at EIA.  EIA's emissions estimates differ because they use unpublished State level data and apply State level emissions factors.54.71 Tg CO</t>
    </r>
    <r>
      <rPr>
        <vertAlign val="subscript"/>
        <sz val="10"/>
        <color theme="1"/>
        <rFont val="Arial"/>
        <family val="2"/>
      </rPr>
      <t>2</t>
    </r>
    <r>
      <rPr>
        <sz val="10"/>
        <color theme="1"/>
        <rFont val="Arial"/>
        <family val="2"/>
      </rPr>
      <t>e/QBTU</t>
    </r>
    <r>
      <rPr>
        <sz val="10"/>
        <color theme="1"/>
        <rFont val="Arial"/>
        <family val="2"/>
      </rPr>
      <t xml:space="preserve">
</t>
    </r>
    <r>
      <rPr>
        <sz val="10"/>
        <color theme="1"/>
        <rFont val="Arial"/>
        <family val="2"/>
      </rPr>
      <t xml:space="preserve">
Emission Factor taken from EIA's 1996 Greenhouse Gas Inventory and confirmed with Art Rypinski at EIA.  EIA's emissions estimates differ because they use unpublished State level data and apply State level emissions factors.</t>
    </r>
  </si>
  <si>
    <r>
      <t>From NG Inventory: Production - Onshore; "CO</t>
    </r>
    <r>
      <rPr>
        <vertAlign val="subscript"/>
        <sz val="10"/>
        <color theme="1"/>
        <rFont val="Arial"/>
        <family val="2"/>
      </rPr>
      <t>2</t>
    </r>
    <r>
      <rPr>
        <sz val="10"/>
        <color theme="1"/>
        <rFont val="Arial"/>
        <family val="2"/>
      </rPr>
      <t xml:space="preserve"> Emission Factor for Flared Natural Gas"</t>
    </r>
    <r>
      <rPr>
        <sz val="10"/>
        <color theme="1"/>
        <rFont val="Arial"/>
        <family val="2"/>
      </rPr>
      <t xml:space="preserve">
</t>
    </r>
    <r>
      <rPr>
        <sz val="10"/>
        <color theme="1"/>
        <rFont val="Arial"/>
        <family val="2"/>
      </rPr>
      <t xml:space="preserve">
Tg CO</t>
    </r>
    <r>
      <rPr>
        <vertAlign val="subscript"/>
        <sz val="10"/>
        <color theme="1"/>
        <rFont val="Arial"/>
        <family val="2"/>
      </rPr>
      <t>2</t>
    </r>
    <r>
      <rPr>
        <sz val="10"/>
        <color theme="1"/>
        <rFont val="Arial"/>
        <family val="2"/>
      </rPr>
      <t xml:space="preserve"> Eq = teragrams (10</t>
    </r>
    <r>
      <rPr>
        <vertAlign val="superscript"/>
        <sz val="10"/>
        <color theme="1"/>
        <rFont val="Arial"/>
        <family val="2"/>
      </rPr>
      <t>12</t>
    </r>
    <r>
      <rPr>
        <sz val="10"/>
        <color theme="1"/>
        <rFont val="Arial"/>
        <family val="2"/>
      </rPr>
      <t>) CO</t>
    </r>
    <r>
      <rPr>
        <vertAlign val="subscript"/>
        <sz val="10"/>
        <color theme="1"/>
        <rFont val="Arial"/>
        <family val="2"/>
      </rPr>
      <t>2</t>
    </r>
    <r>
      <rPr>
        <sz val="10"/>
        <color theme="1"/>
        <rFont val="Arial"/>
        <family val="2"/>
      </rPr>
      <t xml:space="preserve"> equivalent</t>
    </r>
    <r>
      <rPr>
        <sz val="10"/>
        <color theme="1"/>
        <rFont val="Arial"/>
        <family val="2"/>
      </rPr>
      <t xml:space="preserve">
QBTU = quadrillion (10</t>
    </r>
    <r>
      <rPr>
        <vertAlign val="superscript"/>
        <sz val="10"/>
        <color theme="1"/>
        <rFont val="Arial"/>
        <family val="2"/>
      </rPr>
      <t>15</t>
    </r>
    <r>
      <rPr>
        <sz val="10"/>
        <color theme="1"/>
        <rFont val="Arial"/>
        <family val="2"/>
      </rPr>
      <t>) BTUs</t>
    </r>
    <r>
      <rPr>
        <sz val="10"/>
        <color theme="1"/>
        <rFont val="Arial"/>
        <family val="2"/>
      </rPr>
      <t xml:space="preserve">
</t>
    </r>
    <r>
      <rPr>
        <sz val="10"/>
        <color theme="1"/>
        <rFont val="Arial"/>
        <family val="2"/>
      </rPr>
      <t xml:space="preserve">
Assume:</t>
    </r>
    <r>
      <rPr>
        <sz val="10"/>
        <color theme="1"/>
        <rFont val="Arial"/>
        <family val="2"/>
      </rPr>
      <t xml:space="preserve">
1) 1 scf gas = 1,235 BTU</t>
    </r>
    <r>
      <rPr>
        <sz val="10"/>
        <color theme="1"/>
        <rFont val="Arial"/>
        <family val="2"/>
      </rPr>
      <t xml:space="preserve">
(Source: 2004 API Compendium. Table 3-5. pg 3-16 (PDF pg 59) "Natural Gas (raw/unprocessed)")</t>
    </r>
    <r>
      <rPr>
        <sz val="10"/>
        <color theme="1"/>
        <rFont val="Arial"/>
        <family val="2"/>
      </rPr>
      <t xml:space="preserve">
2) Flaring emissions are assumed to be greater than venting emissions (i.e., venting emissions are excluded)From NG Inventory: Production - Onshore; "CO</t>
    </r>
    <r>
      <rPr>
        <vertAlign val="subscript"/>
        <sz val="10"/>
        <color theme="1"/>
        <rFont val="Arial"/>
        <family val="2"/>
      </rPr>
      <t>2</t>
    </r>
    <r>
      <rPr>
        <sz val="10"/>
        <color theme="1"/>
        <rFont val="Arial"/>
        <family val="2"/>
      </rPr>
      <t xml:space="preserve"> Emission Factor for Flared Natural Gas"</t>
    </r>
    <r>
      <rPr>
        <sz val="10"/>
        <color theme="1"/>
        <rFont val="Arial"/>
        <family val="2"/>
      </rPr>
      <t xml:space="preserve">
</t>
    </r>
    <r>
      <rPr>
        <sz val="10"/>
        <color theme="1"/>
        <rFont val="Arial"/>
        <family val="2"/>
      </rPr>
      <t xml:space="preserve">
Tg CO</t>
    </r>
    <r>
      <rPr>
        <vertAlign val="subscript"/>
        <sz val="10"/>
        <color theme="1"/>
        <rFont val="Arial"/>
        <family val="2"/>
      </rPr>
      <t>2</t>
    </r>
    <r>
      <rPr>
        <sz val="10"/>
        <color theme="1"/>
        <rFont val="Arial"/>
        <family val="2"/>
      </rPr>
      <t xml:space="preserve"> Eq = teragrams (10</t>
    </r>
    <r>
      <rPr>
        <vertAlign val="superscript"/>
        <sz val="10"/>
        <color theme="1"/>
        <rFont val="Arial"/>
        <family val="2"/>
      </rPr>
      <t>12</t>
    </r>
    <r>
      <rPr>
        <sz val="10"/>
        <color theme="1"/>
        <rFont val="Arial"/>
        <family val="2"/>
      </rPr>
      <t>) CO</t>
    </r>
    <r>
      <rPr>
        <vertAlign val="subscript"/>
        <sz val="10"/>
        <color theme="1"/>
        <rFont val="Arial"/>
        <family val="2"/>
      </rPr>
      <t>2</t>
    </r>
    <r>
      <rPr>
        <sz val="10"/>
        <color theme="1"/>
        <rFont val="Arial"/>
        <family val="2"/>
      </rPr>
      <t xml:space="preserve"> equivalent</t>
    </r>
    <r>
      <rPr>
        <sz val="10"/>
        <color theme="1"/>
        <rFont val="Arial"/>
        <family val="2"/>
      </rPr>
      <t xml:space="preserve">
QBTU = quadrillion (10</t>
    </r>
    <r>
      <rPr>
        <vertAlign val="superscript"/>
        <sz val="10"/>
        <color theme="1"/>
        <rFont val="Arial"/>
        <family val="2"/>
      </rPr>
      <t>15</t>
    </r>
    <r>
      <rPr>
        <sz val="10"/>
        <color theme="1"/>
        <rFont val="Arial"/>
        <family val="2"/>
      </rPr>
      <t>) BTUs</t>
    </r>
    <r>
      <rPr>
        <sz val="10"/>
        <color theme="1"/>
        <rFont val="Arial"/>
        <family val="2"/>
      </rPr>
      <t xml:space="preserve">
</t>
    </r>
    <r>
      <rPr>
        <sz val="10"/>
        <color theme="1"/>
        <rFont val="Arial"/>
        <family val="2"/>
      </rPr>
      <t xml:space="preserve">
Assume:</t>
    </r>
    <r>
      <rPr>
        <sz val="10"/>
        <color theme="1"/>
        <rFont val="Arial"/>
        <family val="2"/>
      </rPr>
      <t xml:space="preserve">
1) 1 scf gas = 1,235 BTU</t>
    </r>
    <r>
      <rPr>
        <sz val="10"/>
        <color theme="1"/>
        <rFont val="Arial"/>
        <family val="2"/>
      </rPr>
      <t xml:space="preserve">
(Source: 2004 API Compendium. Table 3-5. pg 3-16 (PDF pg 59) "Natural Gas (raw/unprocessed)")</t>
    </r>
    <r>
      <rPr>
        <sz val="10"/>
        <color theme="1"/>
        <rFont val="Arial"/>
        <family val="2"/>
      </rPr>
      <t xml:space="preserve">
2) Flaring emissions are assumed to be greater than venting emissions (i.e., venting emissions are excluded)</t>
    </r>
  </si>
  <si>
    <r>
      <t xml:space="preserve">Dehydrator vents
</t>
    </r>
    <r>
      <rPr>
        <sz val="10"/>
        <color theme="1"/>
        <rFont val="Arial"/>
        <family val="2"/>
      </rPr>
      <t>98.232 (c)(14)Dehydrator vents</t>
    </r>
    <r>
      <rPr>
        <sz val="10"/>
        <color theme="1"/>
        <rFont val="Arial"/>
        <family val="2"/>
      </rPr>
      <t xml:space="preserve">
</t>
    </r>
    <r>
      <rPr>
        <sz val="10"/>
        <color theme="1"/>
        <rFont val="Arial"/>
        <family val="2"/>
      </rPr>
      <t xml:space="preserve">
98.232 (c)(14)</t>
    </r>
  </si>
  <si>
    <t>Number of dehydrators, operating factor</t>
  </si>
  <si>
    <r>
      <t>CH</t>
    </r>
    <r>
      <rPr>
        <vertAlign val="subscript"/>
        <sz val="10"/>
        <color theme="1"/>
        <rFont val="Arial"/>
        <family val="2"/>
      </rPr>
      <t>4</t>
    </r>
    <r>
      <rPr>
        <sz val="10"/>
        <color theme="1"/>
        <rFont val="Arial"/>
        <family val="2"/>
      </rPr>
      <t xml:space="preserve"> EF * Number of dehydrators * Operating factorCH</t>
    </r>
    <r>
      <rPr>
        <vertAlign val="subscript"/>
        <sz val="10"/>
        <color theme="1"/>
        <rFont val="Arial"/>
        <family val="2"/>
      </rPr>
      <t>4</t>
    </r>
    <r>
      <rPr>
        <sz val="10"/>
        <color theme="1"/>
        <rFont val="Arial"/>
        <family val="2"/>
      </rPr>
      <t xml:space="preserve"> EF * Number of dehydrators * Operating factor</t>
    </r>
  </si>
  <si>
    <r>
      <t>tCO</t>
    </r>
    <r>
      <rPr>
        <vertAlign val="subscript"/>
        <sz val="10"/>
        <color theme="1"/>
        <rFont val="Arial"/>
        <family val="2"/>
      </rPr>
      <t>2</t>
    </r>
    <r>
      <rPr>
        <sz val="10"/>
        <color theme="1"/>
        <rFont val="Arial"/>
        <family val="2"/>
      </rPr>
      <t>e/MMcf gas processedtCO</t>
    </r>
    <r>
      <rPr>
        <vertAlign val="subscript"/>
        <sz val="10"/>
        <color theme="1"/>
        <rFont val="Arial"/>
        <family val="2"/>
      </rPr>
      <t>2</t>
    </r>
    <r>
      <rPr>
        <sz val="10"/>
        <color theme="1"/>
        <rFont val="Arial"/>
        <family val="2"/>
      </rPr>
      <t>e/MMcf gas processed</t>
    </r>
  </si>
  <si>
    <r>
      <t>EF: 0.000127 tonnes CH</t>
    </r>
    <r>
      <rPr>
        <b/>
        <vertAlign val="subscript"/>
        <sz val="10"/>
        <color theme="1"/>
        <rFont val="Arial"/>
        <family val="2"/>
      </rPr>
      <t>4</t>
    </r>
    <r>
      <rPr>
        <b/>
        <sz val="10"/>
        <color theme="1"/>
        <rFont val="Arial"/>
        <family val="2"/>
      </rPr>
      <t>/10^6 scf gas processed</t>
    </r>
    <r>
      <rPr>
        <sz val="10"/>
        <color theme="1"/>
        <rFont val="Arial"/>
        <family val="2"/>
      </rPr>
      <t xml:space="preserve"> (API. </t>
    </r>
    <r>
      <rPr>
        <i/>
        <sz val="10"/>
        <color theme="1"/>
        <rFont val="Arial"/>
        <family val="2"/>
      </rPr>
      <t>Compendium of GHG Emissions Methodologies for the Oil and Natural Gas Industry</t>
    </r>
    <r>
      <rPr>
        <sz val="10"/>
        <color theme="1"/>
        <rFont val="Arial"/>
        <family val="2"/>
      </rPr>
      <t>. August 2009. Table 5-13. pg 5-5 (PDF pg 211). EF: 0.000127 tonnes CH</t>
    </r>
    <r>
      <rPr>
        <b/>
        <vertAlign val="subscript"/>
        <sz val="10"/>
        <color theme="1"/>
        <rFont val="Arial"/>
        <family val="2"/>
      </rPr>
      <t>4</t>
    </r>
    <r>
      <rPr>
        <b/>
        <sz val="10"/>
        <color theme="1"/>
        <rFont val="Arial"/>
        <family val="2"/>
      </rPr>
      <t>/10^6 scf gas processed</t>
    </r>
    <r>
      <rPr>
        <sz val="10"/>
        <color theme="1"/>
        <rFont val="Arial"/>
        <family val="2"/>
      </rPr>
      <t xml:space="preserve"> (API. </t>
    </r>
    <r>
      <rPr>
        <i/>
        <sz val="10"/>
        <color theme="1"/>
        <rFont val="Arial"/>
        <family val="2"/>
      </rPr>
      <t>Compendium of GHG Emissions Methodologies for the Oil and Natural Gas Industry</t>
    </r>
    <r>
      <rPr>
        <sz val="10"/>
        <color theme="1"/>
        <rFont val="Arial"/>
        <family val="2"/>
      </rPr>
      <t>. August 2009. Table 5-13. pg 5-5 (PDF pg 211).</t>
    </r>
  </si>
  <si>
    <t>GRI GLYCalc-generated EF. Assumed mode of operation: "electric pump with a flash separator"</t>
  </si>
  <si>
    <r>
      <t xml:space="preserve">Acid gas removal vents
</t>
    </r>
    <r>
      <rPr>
        <sz val="10"/>
        <color theme="1"/>
        <rFont val="Arial"/>
        <family val="2"/>
      </rPr>
      <t>98.232 (c)(17)Acid gas removal vents</t>
    </r>
    <r>
      <rPr>
        <sz val="10"/>
        <color theme="1"/>
        <rFont val="Arial"/>
        <family val="2"/>
      </rPr>
      <t xml:space="preserve">
</t>
    </r>
    <r>
      <rPr>
        <sz val="10"/>
        <color theme="1"/>
        <rFont val="Arial"/>
        <family val="2"/>
      </rPr>
      <t xml:space="preserve">
98.232 (c)(17)</t>
    </r>
  </si>
  <si>
    <r>
      <t xml:space="preserve">Centrifugal compressor venting
</t>
    </r>
    <r>
      <rPr>
        <sz val="10"/>
        <color theme="1"/>
        <rFont val="Arial"/>
        <family val="2"/>
      </rPr>
      <t>98.232 (c)(19)Centrifugal compressor venting</t>
    </r>
    <r>
      <rPr>
        <sz val="10"/>
        <color theme="1"/>
        <rFont val="Arial"/>
        <family val="2"/>
      </rPr>
      <t xml:space="preserve">
</t>
    </r>
    <r>
      <rPr>
        <sz val="10"/>
        <color theme="1"/>
        <rFont val="Arial"/>
        <family val="2"/>
      </rPr>
      <t xml:space="preserve">
98.232 (c)(19)</t>
    </r>
  </si>
  <si>
    <r>
      <t>Mcf CH</t>
    </r>
    <r>
      <rPr>
        <vertAlign val="subscript"/>
        <sz val="10"/>
        <color theme="1"/>
        <rFont val="Arial"/>
        <family val="2"/>
      </rPr>
      <t>4</t>
    </r>
    <r>
      <rPr>
        <sz val="10"/>
        <color theme="1"/>
        <rFont val="Arial"/>
        <family val="2"/>
      </rPr>
      <t>/year-compressorMcf CH</t>
    </r>
    <r>
      <rPr>
        <vertAlign val="subscript"/>
        <sz val="10"/>
        <color theme="1"/>
        <rFont val="Arial"/>
        <family val="2"/>
      </rPr>
      <t>4</t>
    </r>
    <r>
      <rPr>
        <sz val="10"/>
        <color theme="1"/>
        <rFont val="Arial"/>
        <family val="2"/>
      </rPr>
      <t>/year-compressor</t>
    </r>
  </si>
  <si>
    <r>
      <t>EF: 150 Mcm CH</t>
    </r>
    <r>
      <rPr>
        <b/>
        <vertAlign val="subscript"/>
        <sz val="10"/>
        <color theme="1"/>
        <rFont val="Arial"/>
        <family val="2"/>
      </rPr>
      <t>4</t>
    </r>
    <r>
      <rPr>
        <b/>
        <sz val="10"/>
        <color theme="1"/>
        <rFont val="Arial"/>
        <family val="2"/>
      </rPr>
      <t xml:space="preserve">/year-compressor </t>
    </r>
    <r>
      <rPr>
        <sz val="10"/>
        <color theme="1"/>
        <rFont val="Arial"/>
        <family val="2"/>
      </rPr>
      <t xml:space="preserve">(EPA. </t>
    </r>
    <r>
      <rPr>
        <i/>
        <sz val="10"/>
        <color theme="1"/>
        <rFont val="Arial"/>
        <family val="2"/>
      </rPr>
      <t>Methane's Role in Promoting Sustainable Development in the Oil and Natural Gas Industry: World Gas Conference Paper.</t>
    </r>
    <r>
      <rPr>
        <sz val="10"/>
        <color theme="1"/>
        <rFont val="Arial"/>
        <family val="2"/>
      </rPr>
      <t xml:space="preserve"> October 2009. epa.gov/gasstar/tools/related.html)EF: 150 Mcm CH</t>
    </r>
    <r>
      <rPr>
        <b/>
        <vertAlign val="subscript"/>
        <sz val="10"/>
        <color theme="1"/>
        <rFont val="Arial"/>
        <family val="2"/>
      </rPr>
      <t>4</t>
    </r>
    <r>
      <rPr>
        <b/>
        <sz val="10"/>
        <color theme="1"/>
        <rFont val="Arial"/>
        <family val="2"/>
      </rPr>
      <t xml:space="preserve">/year-compressor </t>
    </r>
    <r>
      <rPr>
        <sz val="10"/>
        <color theme="1"/>
        <rFont val="Arial"/>
        <family val="2"/>
      </rPr>
      <t xml:space="preserve">(EPA. </t>
    </r>
    <r>
      <rPr>
        <i/>
        <sz val="10"/>
        <color theme="1"/>
        <rFont val="Arial"/>
        <family val="2"/>
      </rPr>
      <t>Methane's Role in Promoting Sustainable Development in the Oil and Natural Gas Industry: World Gas Conference Paper.</t>
    </r>
    <r>
      <rPr>
        <sz val="10"/>
        <color theme="1"/>
        <rFont val="Arial"/>
        <family val="2"/>
      </rPr>
      <t xml:space="preserve"> October 2009. epa.gov/gasstar/tools/related.html)</t>
    </r>
  </si>
  <si>
    <t>Low end of given range of wet seal centrifugal compressor emissions (Exhibit 10, page 17)
The lowest EF from the WGC paper was used because wellhead centrifugal compressors in production are generally smaller than G&amp;B and transmission/storage centrifugal compressors.Low end of given range of wet seal centrifugal compressor emissions (Exhibit 10, page 17)
The lowest EF from the WGC paper was used because wellhead centrifugal compressors in production are generally smaller than G&amp;B and transmission/storage centrifugal compressors.</t>
  </si>
  <si>
    <r>
      <t xml:space="preserve">Equipment Leaks (valves, connectors, flanges, etc.)
</t>
    </r>
    <r>
      <rPr>
        <sz val="10"/>
        <color theme="1"/>
        <rFont val="Arial"/>
        <family val="2"/>
      </rPr>
      <t>98.232 (c)(21)Equipment Leaks (valves, connectors, flanges, etc.)</t>
    </r>
    <r>
      <rPr>
        <sz val="10"/>
        <color theme="1"/>
        <rFont val="Arial"/>
        <family val="2"/>
      </rPr>
      <t xml:space="preserve">
</t>
    </r>
    <r>
      <rPr>
        <sz val="10"/>
        <color theme="1"/>
        <rFont val="Arial"/>
        <family val="2"/>
      </rPr>
      <t xml:space="preserve">
98.232 (c)(21)</t>
    </r>
  </si>
  <si>
    <r>
      <t>Percentage of 2008 U.S. CH</t>
    </r>
    <r>
      <rPr>
        <vertAlign val="subscript"/>
        <sz val="10"/>
        <color theme="1"/>
        <rFont val="Arial"/>
        <family val="2"/>
      </rPr>
      <t>4</t>
    </r>
    <r>
      <rPr>
        <sz val="10"/>
        <color theme="1"/>
        <rFont val="Arial"/>
        <family val="2"/>
      </rPr>
      <t xml:space="preserve"> production emissions / Total Petroleum and Gas WellsPercentage of 2008 U.S. CH</t>
    </r>
    <r>
      <rPr>
        <vertAlign val="subscript"/>
        <sz val="10"/>
        <color theme="1"/>
        <rFont val="Arial"/>
        <family val="2"/>
      </rPr>
      <t>4</t>
    </r>
    <r>
      <rPr>
        <sz val="10"/>
        <color theme="1"/>
        <rFont val="Arial"/>
        <family val="2"/>
      </rPr>
      <t xml:space="preserve"> production emissions / Total Petroleum and Gas Wells</t>
    </r>
  </si>
  <si>
    <r>
      <t>tCO</t>
    </r>
    <r>
      <rPr>
        <vertAlign val="subscript"/>
        <sz val="10"/>
        <color theme="1"/>
        <rFont val="Arial"/>
        <family val="2"/>
      </rPr>
      <t>2</t>
    </r>
    <r>
      <rPr>
        <sz val="10"/>
        <color theme="1"/>
        <rFont val="Arial"/>
        <family val="2"/>
      </rPr>
      <t>e/welltCO</t>
    </r>
    <r>
      <rPr>
        <vertAlign val="subscript"/>
        <sz val="10"/>
        <color theme="1"/>
        <rFont val="Arial"/>
        <family val="2"/>
      </rPr>
      <t>2</t>
    </r>
    <r>
      <rPr>
        <sz val="10"/>
        <color theme="1"/>
        <rFont val="Arial"/>
        <family val="2"/>
      </rPr>
      <t>e/well</t>
    </r>
  </si>
  <si>
    <t>EF: Other sources in the U.S. Inventory divided by the number of wells Natural Gas Wells and Petroleum Wells</t>
  </si>
  <si>
    <t>455,015 Non-associated Gas Wells; 525,000 Oil Wells</t>
  </si>
  <si>
    <r>
      <t xml:space="preserve">Combustion Emissions (CO2, CH4, and N2O from stationary and portable equipment at production wellheads)
</t>
    </r>
    <r>
      <rPr>
        <sz val="10"/>
        <color theme="1"/>
        <rFont val="Arial"/>
        <family val="2"/>
      </rPr>
      <t>98.232 (c)(22)Combustion Emissions (CO2, CH4, and N2O from stationary and portable equipment at production wellheads)</t>
    </r>
    <r>
      <rPr>
        <sz val="10"/>
        <color theme="1"/>
        <rFont val="Arial"/>
        <family val="2"/>
      </rPr>
      <t xml:space="preserve">
</t>
    </r>
    <r>
      <rPr>
        <sz val="10"/>
        <color theme="1"/>
        <rFont val="Arial"/>
        <family val="2"/>
      </rPr>
      <t xml:space="preserve">
98.232 (c)(22)</t>
    </r>
  </si>
  <si>
    <t xml:space="preserve">     Well drilling and completion equipment</t>
  </si>
  <si>
    <r>
      <t xml:space="preserve">Number of </t>
    </r>
    <r>
      <rPr>
        <sz val="10"/>
        <color theme="1"/>
        <rFont val="Arial"/>
        <family val="2"/>
      </rPr>
      <t>active drilling rig engines, operating factorNumber of active drilling rig engines, operating factor</t>
    </r>
  </si>
  <si>
    <r>
      <t>(CH</t>
    </r>
    <r>
      <rPr>
        <vertAlign val="subscript"/>
        <sz val="10"/>
        <color theme="1"/>
        <rFont val="Arial"/>
        <family val="2"/>
      </rPr>
      <t>4</t>
    </r>
    <r>
      <rPr>
        <sz val="10"/>
        <color theme="1"/>
        <rFont val="Arial"/>
        <family val="2"/>
      </rPr>
      <t xml:space="preserve"> EF + CO</t>
    </r>
    <r>
      <rPr>
        <vertAlign val="subscript"/>
        <sz val="10"/>
        <color theme="1"/>
        <rFont val="Arial"/>
        <family val="2"/>
      </rPr>
      <t>2</t>
    </r>
    <r>
      <rPr>
        <sz val="10"/>
        <color theme="1"/>
        <rFont val="Arial"/>
        <family val="2"/>
      </rPr>
      <t xml:space="preserve"> EF) * Number of active drilling rig engines * Operating factor(CH</t>
    </r>
    <r>
      <rPr>
        <vertAlign val="subscript"/>
        <sz val="10"/>
        <color theme="1"/>
        <rFont val="Arial"/>
        <family val="2"/>
      </rPr>
      <t>4</t>
    </r>
    <r>
      <rPr>
        <sz val="10"/>
        <color theme="1"/>
        <rFont val="Arial"/>
        <family val="2"/>
      </rPr>
      <t xml:space="preserve"> EF + CO</t>
    </r>
    <r>
      <rPr>
        <vertAlign val="subscript"/>
        <sz val="10"/>
        <color theme="1"/>
        <rFont val="Arial"/>
        <family val="2"/>
      </rPr>
      <t>2</t>
    </r>
    <r>
      <rPr>
        <sz val="10"/>
        <color theme="1"/>
        <rFont val="Arial"/>
        <family val="2"/>
      </rPr>
      <t xml:space="preserve"> EF) * Number of active drilling rig engines * Operating factor</t>
    </r>
  </si>
  <si>
    <r>
      <t>tonnes CH</t>
    </r>
    <r>
      <rPr>
        <vertAlign val="subscript"/>
        <sz val="10"/>
        <color theme="1"/>
        <rFont val="Arial"/>
        <family val="2"/>
      </rPr>
      <t>4</t>
    </r>
    <r>
      <rPr>
        <sz val="10"/>
        <color theme="1"/>
        <rFont val="Arial"/>
        <family val="2"/>
      </rPr>
      <t>/rig enginetonnes CH</t>
    </r>
    <r>
      <rPr>
        <vertAlign val="subscript"/>
        <sz val="10"/>
        <color theme="1"/>
        <rFont val="Arial"/>
        <family val="2"/>
      </rPr>
      <t>4</t>
    </r>
    <r>
      <rPr>
        <sz val="10"/>
        <color theme="1"/>
        <rFont val="Arial"/>
        <family val="2"/>
      </rPr>
      <t>/rig engine</t>
    </r>
  </si>
  <si>
    <r>
      <t>0.0781 tonnes CO</t>
    </r>
    <r>
      <rPr>
        <vertAlign val="subscript"/>
        <sz val="10"/>
        <color theme="1"/>
        <rFont val="Arial"/>
        <family val="2"/>
      </rPr>
      <t>2</t>
    </r>
    <r>
      <rPr>
        <sz val="10"/>
        <color theme="1"/>
        <rFont val="Arial"/>
        <family val="2"/>
      </rPr>
      <t>/10^6 BTU
(EF for "diesel/gas oil")
2004 API Compendium.  Table 4-1. pg 4-7 (PDF pg 80)0.0781 tonnes CO</t>
    </r>
    <r>
      <rPr>
        <vertAlign val="subscript"/>
        <sz val="10"/>
        <color theme="1"/>
        <rFont val="Arial"/>
        <family val="2"/>
      </rPr>
      <t>2</t>
    </r>
    <r>
      <rPr>
        <sz val="10"/>
        <color theme="1"/>
        <rFont val="Arial"/>
        <family val="2"/>
      </rPr>
      <t>/10^6 BTU
(EF for "diesel/gas oil")
2004 API Compendium.  Table 4-1. pg 4-7 (PDF pg 80)</t>
    </r>
  </si>
  <si>
    <r>
      <t>CO</t>
    </r>
    <r>
      <rPr>
        <vertAlign val="subscript"/>
        <sz val="10"/>
        <color theme="1"/>
        <rFont val="Arial"/>
        <family val="2"/>
      </rPr>
      <t>2</t>
    </r>
    <r>
      <rPr>
        <sz val="10"/>
        <color theme="1"/>
        <rFont val="Arial"/>
        <family val="2"/>
      </rPr>
      <t xml:space="preserve"> EF per rig calculated from original combustion EF in Table 4-1 assuming:</t>
    </r>
    <r>
      <rPr>
        <sz val="10"/>
        <color theme="1"/>
        <rFont val="Arial"/>
        <family val="2"/>
      </rPr>
      <t xml:space="preserve">
1) avg of 1500 HP/rig</t>
    </r>
    <r>
      <rPr>
        <sz val="10"/>
        <color theme="1"/>
        <rFont val="Arial"/>
        <family val="2"/>
      </rPr>
      <t xml:space="preserve">
2) an operation duration of 90 days</t>
    </r>
    <r>
      <rPr>
        <sz val="10"/>
        <color theme="1"/>
        <rFont val="Arial"/>
        <family val="2"/>
      </rPr>
      <t xml:space="preserve">
3) 98% combustion efficiencyCO</t>
    </r>
    <r>
      <rPr>
        <vertAlign val="subscript"/>
        <sz val="10"/>
        <color theme="1"/>
        <rFont val="Arial"/>
        <family val="2"/>
      </rPr>
      <t>2</t>
    </r>
    <r>
      <rPr>
        <sz val="10"/>
        <color theme="1"/>
        <rFont val="Arial"/>
        <family val="2"/>
      </rPr>
      <t xml:space="preserve"> EF per rig calculated from original combustion EF in Table 4-1 assuming:</t>
    </r>
    <r>
      <rPr>
        <sz val="10"/>
        <color theme="1"/>
        <rFont val="Arial"/>
        <family val="2"/>
      </rPr>
      <t xml:space="preserve">
1) avg of 1500 HP/rig</t>
    </r>
    <r>
      <rPr>
        <sz val="10"/>
        <color theme="1"/>
        <rFont val="Arial"/>
        <family val="2"/>
      </rPr>
      <t xml:space="preserve">
2) an operation duration of 90 days</t>
    </r>
    <r>
      <rPr>
        <sz val="10"/>
        <color theme="1"/>
        <rFont val="Arial"/>
        <family val="2"/>
      </rPr>
      <t xml:space="preserve">
3) 98% combustion efficiency</t>
    </r>
  </si>
  <si>
    <t>tonnes CO2/rig engine</t>
  </si>
  <si>
    <r>
      <t>CO</t>
    </r>
    <r>
      <rPr>
        <vertAlign val="subscript"/>
        <sz val="10"/>
        <color theme="1"/>
        <rFont val="Arial"/>
        <family val="2"/>
      </rPr>
      <t>2</t>
    </r>
    <r>
      <rPr>
        <sz val="10"/>
        <color theme="1"/>
        <rFont val="Arial"/>
        <family val="2"/>
      </rPr>
      <t xml:space="preserve"> EF per rig calculated from original combustion EF in Table 4-1 assuming:</t>
    </r>
    <r>
      <rPr>
        <sz val="10"/>
        <color theme="1"/>
        <rFont val="Arial"/>
        <family val="2"/>
      </rPr>
      <t xml:space="preserve">
1) avg of 1500 HP/rig</t>
    </r>
    <r>
      <rPr>
        <sz val="10"/>
        <color theme="1"/>
        <rFont val="Arial"/>
        <family val="2"/>
      </rPr>
      <t xml:space="preserve">
2) an operation duration of 90 days</t>
    </r>
    <r>
      <rPr>
        <sz val="10"/>
        <color theme="1"/>
        <rFont val="Arial"/>
        <family val="2"/>
      </rPr>
      <t xml:space="preserve">
3) 1 HP = 745.7 Watts</t>
    </r>
    <r>
      <rPr>
        <sz val="10"/>
        <color theme="1"/>
        <rFont val="Arial"/>
        <family val="2"/>
      </rPr>
      <t xml:space="preserve">
4) 1 BTU = 0.293 Watt-hrsCO</t>
    </r>
    <r>
      <rPr>
        <vertAlign val="subscript"/>
        <sz val="10"/>
        <color theme="1"/>
        <rFont val="Arial"/>
        <family val="2"/>
      </rPr>
      <t>2</t>
    </r>
    <r>
      <rPr>
        <sz val="10"/>
        <color theme="1"/>
        <rFont val="Arial"/>
        <family val="2"/>
      </rPr>
      <t xml:space="preserve"> EF per rig calculated from original combustion EF in Table 4-1 assuming:</t>
    </r>
    <r>
      <rPr>
        <sz val="10"/>
        <color theme="1"/>
        <rFont val="Arial"/>
        <family val="2"/>
      </rPr>
      <t xml:space="preserve">
1) avg of 1500 HP/rig</t>
    </r>
    <r>
      <rPr>
        <sz val="10"/>
        <color theme="1"/>
        <rFont val="Arial"/>
        <family val="2"/>
      </rPr>
      <t xml:space="preserve">
2) an operation duration of 90 days</t>
    </r>
    <r>
      <rPr>
        <sz val="10"/>
        <color theme="1"/>
        <rFont val="Arial"/>
        <family val="2"/>
      </rPr>
      <t xml:space="preserve">
3) 1 HP = 745.7 Watts</t>
    </r>
    <r>
      <rPr>
        <sz val="10"/>
        <color theme="1"/>
        <rFont val="Arial"/>
        <family val="2"/>
      </rPr>
      <t xml:space="preserve">
4) 1 BTU = 0.293 Watt-hrs</t>
    </r>
  </si>
  <si>
    <t xml:space="preserve">     Workover equipment</t>
  </si>
  <si>
    <r>
      <t>(CH</t>
    </r>
    <r>
      <rPr>
        <vertAlign val="subscript"/>
        <sz val="10"/>
        <color theme="1"/>
        <rFont val="Arial"/>
        <family val="2"/>
      </rPr>
      <t>4</t>
    </r>
    <r>
      <rPr>
        <sz val="10"/>
        <color theme="1"/>
        <rFont val="Arial"/>
        <family val="2"/>
      </rPr>
      <t xml:space="preserve"> EF + CO</t>
    </r>
    <r>
      <rPr>
        <vertAlign val="subscript"/>
        <sz val="10"/>
        <color theme="1"/>
        <rFont val="Arial"/>
        <family val="2"/>
      </rPr>
      <t>2</t>
    </r>
    <r>
      <rPr>
        <sz val="10"/>
        <color theme="1"/>
        <rFont val="Arial"/>
        <family val="2"/>
      </rPr>
      <t xml:space="preserve"> EF) * Number of active</t>
    </r>
    <r>
      <rPr>
        <sz val="10"/>
        <color rgb="FFFF0000"/>
        <rFont val="Arial"/>
        <family val="2"/>
      </rPr>
      <t xml:space="preserve"> </t>
    </r>
    <r>
      <rPr>
        <sz val="10"/>
        <color theme="1"/>
        <rFont val="Arial"/>
        <family val="2"/>
      </rPr>
      <t>drilling rig engines * Operating factor(CH</t>
    </r>
    <r>
      <rPr>
        <vertAlign val="subscript"/>
        <sz val="10"/>
        <color theme="1"/>
        <rFont val="Arial"/>
        <family val="2"/>
      </rPr>
      <t>4</t>
    </r>
    <r>
      <rPr>
        <sz val="10"/>
        <color theme="1"/>
        <rFont val="Arial"/>
        <family val="2"/>
      </rPr>
      <t xml:space="preserve"> EF + CO</t>
    </r>
    <r>
      <rPr>
        <vertAlign val="subscript"/>
        <sz val="10"/>
        <color theme="1"/>
        <rFont val="Arial"/>
        <family val="2"/>
      </rPr>
      <t>2</t>
    </r>
    <r>
      <rPr>
        <sz val="10"/>
        <color theme="1"/>
        <rFont val="Arial"/>
        <family val="2"/>
      </rPr>
      <t xml:space="preserve"> EF) * Number of active</t>
    </r>
    <r>
      <rPr>
        <sz val="10"/>
        <color rgb="FFFF0000"/>
        <rFont val="Arial"/>
        <family val="2"/>
      </rPr>
      <t xml:space="preserve"> </t>
    </r>
    <r>
      <rPr>
        <sz val="10"/>
        <color theme="1"/>
        <rFont val="Arial"/>
        <family val="2"/>
      </rPr>
      <t>drilling rig engines * Operating factor</t>
    </r>
  </si>
  <si>
    <t xml:space="preserve">     Wellhead compressors</t>
  </si>
  <si>
    <r>
      <t xml:space="preserve">Total annual horsepower-hour capacity for all </t>
    </r>
    <r>
      <rPr>
        <sz val="10"/>
        <color theme="1"/>
        <rFont val="Arial"/>
        <family val="2"/>
      </rPr>
      <t>active wellhead compressors, operating factorTotal annual horsepower-hour capacity for all active wellhead compressors, operating factor</t>
    </r>
  </si>
  <si>
    <r>
      <t>(CH</t>
    </r>
    <r>
      <rPr>
        <vertAlign val="subscript"/>
        <sz val="10"/>
        <color theme="1"/>
        <rFont val="Arial"/>
        <family val="2"/>
      </rPr>
      <t>4</t>
    </r>
    <r>
      <rPr>
        <sz val="10"/>
        <color theme="1"/>
        <rFont val="Arial"/>
        <family val="2"/>
      </rPr>
      <t xml:space="preserve"> EF + CO</t>
    </r>
    <r>
      <rPr>
        <vertAlign val="subscript"/>
        <sz val="10"/>
        <color theme="1"/>
        <rFont val="Arial"/>
        <family val="2"/>
      </rPr>
      <t>2</t>
    </r>
    <r>
      <rPr>
        <sz val="10"/>
        <color theme="1"/>
        <rFont val="Arial"/>
        <family val="2"/>
      </rPr>
      <t xml:space="preserve"> EF) * Total annual horsepower-hour capacity for all active</t>
    </r>
    <r>
      <rPr>
        <sz val="10"/>
        <color rgb="FFFF0000"/>
        <rFont val="Arial"/>
        <family val="2"/>
      </rPr>
      <t xml:space="preserve"> </t>
    </r>
    <r>
      <rPr>
        <sz val="10"/>
        <color theme="1"/>
        <rFont val="Arial"/>
        <family val="2"/>
      </rPr>
      <t>wellhead compressors * Operating factor(CH</t>
    </r>
    <r>
      <rPr>
        <vertAlign val="subscript"/>
        <sz val="10"/>
        <color theme="1"/>
        <rFont val="Arial"/>
        <family val="2"/>
      </rPr>
      <t>4</t>
    </r>
    <r>
      <rPr>
        <sz val="10"/>
        <color theme="1"/>
        <rFont val="Arial"/>
        <family val="2"/>
      </rPr>
      <t xml:space="preserve"> EF + CO</t>
    </r>
    <r>
      <rPr>
        <vertAlign val="subscript"/>
        <sz val="10"/>
        <color theme="1"/>
        <rFont val="Arial"/>
        <family val="2"/>
      </rPr>
      <t>2</t>
    </r>
    <r>
      <rPr>
        <sz val="10"/>
        <color theme="1"/>
        <rFont val="Arial"/>
        <family val="2"/>
      </rPr>
      <t xml:space="preserve"> EF) * Total annual horsepower-hour capacity for all active</t>
    </r>
    <r>
      <rPr>
        <sz val="10"/>
        <color rgb="FFFF0000"/>
        <rFont val="Arial"/>
        <family val="2"/>
      </rPr>
      <t xml:space="preserve"> </t>
    </r>
    <r>
      <rPr>
        <sz val="10"/>
        <color theme="1"/>
        <rFont val="Arial"/>
        <family val="2"/>
      </rPr>
      <t>wellhead compressors * Operating factor</t>
    </r>
  </si>
  <si>
    <r>
      <t>scf CH</t>
    </r>
    <r>
      <rPr>
        <vertAlign val="subscript"/>
        <sz val="10"/>
        <color theme="1"/>
        <rFont val="Arial"/>
        <family val="2"/>
      </rPr>
      <t>4</t>
    </r>
    <r>
      <rPr>
        <sz val="10"/>
        <color theme="1"/>
        <rFont val="Arial"/>
        <family val="2"/>
      </rPr>
      <t>/HPhrscf CH</t>
    </r>
    <r>
      <rPr>
        <vertAlign val="subscript"/>
        <sz val="10"/>
        <color theme="1"/>
        <rFont val="Arial"/>
        <family val="2"/>
      </rPr>
      <t>4</t>
    </r>
    <r>
      <rPr>
        <sz val="10"/>
        <color theme="1"/>
        <rFont val="Arial"/>
        <family val="2"/>
      </rPr>
      <t>/HPhr</t>
    </r>
  </si>
  <si>
    <t>GRI/EPA, Methane Emissions from the Natural Gas Industry, Vol.11, April 1996. pg 11</t>
  </si>
  <si>
    <t>2006 Petroleum ("Gas Engines") &amp; NG ("Gas Engines", all regions) Inventories</t>
  </si>
  <si>
    <t>tCO2/MMHPhr</t>
  </si>
  <si>
    <r>
      <t>0.0531 tonnes CO</t>
    </r>
    <r>
      <rPr>
        <vertAlign val="subscript"/>
        <sz val="10"/>
        <color theme="1"/>
        <rFont val="Arial"/>
        <family val="2"/>
      </rPr>
      <t>2</t>
    </r>
    <r>
      <rPr>
        <sz val="10"/>
        <color theme="1"/>
        <rFont val="Arial"/>
        <family val="2"/>
      </rPr>
      <t>/10^6 BTU
[EF for "Natural Gas (Pipeline)" fuel; Low Heating Value]
2004 API Compendium.  Table 4-1. pg 4-8 (PDF pg 81)0.0531 tonnes CO</t>
    </r>
    <r>
      <rPr>
        <vertAlign val="subscript"/>
        <sz val="10"/>
        <color theme="1"/>
        <rFont val="Arial"/>
        <family val="2"/>
      </rPr>
      <t>2</t>
    </r>
    <r>
      <rPr>
        <sz val="10"/>
        <color theme="1"/>
        <rFont val="Arial"/>
        <family val="2"/>
      </rPr>
      <t>/10^6 BTU
[EF for "Natural Gas (Pipeline)" fuel; Low Heating Value]
2004 API Compendium.  Table 4-1. pg 4-8 (PDF pg 81)</t>
    </r>
  </si>
  <si>
    <r>
      <t>CO</t>
    </r>
    <r>
      <rPr>
        <vertAlign val="subscript"/>
        <sz val="10"/>
        <color theme="1"/>
        <rFont val="Arial"/>
        <family val="2"/>
      </rPr>
      <t>2</t>
    </r>
    <r>
      <rPr>
        <sz val="10"/>
        <color theme="1"/>
        <rFont val="Arial"/>
        <family val="2"/>
      </rPr>
      <t xml:space="preserve"> EF per compressor engine calculated from original combustion EF in Table 4-1 assuming:</t>
    </r>
    <r>
      <rPr>
        <sz val="10"/>
        <color theme="1"/>
        <rFont val="Arial"/>
        <family val="2"/>
      </rPr>
      <t xml:space="preserve">
1) 0.24 scf CH</t>
    </r>
    <r>
      <rPr>
        <vertAlign val="subscript"/>
        <sz val="10"/>
        <color theme="1"/>
        <rFont val="Arial"/>
        <family val="2"/>
      </rPr>
      <t>4</t>
    </r>
    <r>
      <rPr>
        <sz val="10"/>
        <color theme="1"/>
        <rFont val="Arial"/>
        <family val="2"/>
      </rPr>
      <t>/HPhr (1996 GRI. Vol: 11)</t>
    </r>
    <r>
      <rPr>
        <sz val="10"/>
        <color theme="1"/>
        <rFont val="Arial"/>
        <family val="2"/>
      </rPr>
      <t xml:space="preserve">
2) 98% combustion efficiency</t>
    </r>
    <r>
      <rPr>
        <sz val="10"/>
        <color theme="1"/>
        <rFont val="Arial"/>
        <family val="2"/>
      </rPr>
      <t xml:space="preserve">
3) 78.8% methane content in gas</t>
    </r>
    <r>
      <rPr>
        <sz val="10"/>
        <color theme="1"/>
        <rFont val="Arial"/>
        <family val="2"/>
      </rPr>
      <t xml:space="preserve">
Result: 15.23 scf natural gas/HPhr</t>
    </r>
    <r>
      <rPr>
        <sz val="10"/>
        <color theme="1"/>
        <rFont val="Arial"/>
        <family val="2"/>
      </rPr>
      <t xml:space="preserve">
Assume:</t>
    </r>
    <r>
      <rPr>
        <sz val="10"/>
        <color theme="1"/>
        <rFont val="Arial"/>
        <family val="2"/>
      </rPr>
      <t xml:space="preserve">
1) 1,050 BTU/scf gas</t>
    </r>
    <r>
      <rPr>
        <sz val="10"/>
        <color theme="1"/>
        <rFont val="Arial"/>
        <family val="2"/>
      </rPr>
      <t xml:space="preserve">
</t>
    </r>
    <r>
      <rPr>
        <b/>
        <sz val="10"/>
        <color theme="1"/>
        <rFont val="Arial"/>
        <family val="2"/>
      </rPr>
      <t>Result: 15,992 BTU/HPhrCO</t>
    </r>
    <r>
      <rPr>
        <vertAlign val="subscript"/>
        <sz val="10"/>
        <color theme="1"/>
        <rFont val="Arial"/>
        <family val="2"/>
      </rPr>
      <t>2</t>
    </r>
    <r>
      <rPr>
        <sz val="10"/>
        <color theme="1"/>
        <rFont val="Arial"/>
        <family val="2"/>
      </rPr>
      <t xml:space="preserve"> EF per compressor engine calculated from original combustion EF in Table 4-1 assuming:</t>
    </r>
    <r>
      <rPr>
        <sz val="10"/>
        <color theme="1"/>
        <rFont val="Arial"/>
        <family val="2"/>
      </rPr>
      <t xml:space="preserve">
1) 0.24 scf CH</t>
    </r>
    <r>
      <rPr>
        <vertAlign val="subscript"/>
        <sz val="10"/>
        <color theme="1"/>
        <rFont val="Arial"/>
        <family val="2"/>
      </rPr>
      <t>4</t>
    </r>
    <r>
      <rPr>
        <sz val="10"/>
        <color theme="1"/>
        <rFont val="Arial"/>
        <family val="2"/>
      </rPr>
      <t>/HPhr (1996 GRI. Vol: 11)</t>
    </r>
    <r>
      <rPr>
        <sz val="10"/>
        <color theme="1"/>
        <rFont val="Arial"/>
        <family val="2"/>
      </rPr>
      <t xml:space="preserve">
2) 98% combustion efficiency</t>
    </r>
    <r>
      <rPr>
        <sz val="10"/>
        <color theme="1"/>
        <rFont val="Arial"/>
        <family val="2"/>
      </rPr>
      <t xml:space="preserve">
3) 78.8% methane content in gas</t>
    </r>
    <r>
      <rPr>
        <sz val="10"/>
        <color theme="1"/>
        <rFont val="Arial"/>
        <family val="2"/>
      </rPr>
      <t xml:space="preserve">
Result: 15.23 scf natural gas/HPhr</t>
    </r>
    <r>
      <rPr>
        <sz val="10"/>
        <color theme="1"/>
        <rFont val="Arial"/>
        <family val="2"/>
      </rPr>
      <t xml:space="preserve">
Assume:</t>
    </r>
    <r>
      <rPr>
        <sz val="10"/>
        <color theme="1"/>
        <rFont val="Arial"/>
        <family val="2"/>
      </rPr>
      <t xml:space="preserve">
1) 1,050 BTU/scf gas</t>
    </r>
    <r>
      <rPr>
        <sz val="10"/>
        <color theme="1"/>
        <rFont val="Arial"/>
        <family val="2"/>
      </rPr>
      <t xml:space="preserve">
</t>
    </r>
    <r>
      <rPr>
        <b/>
        <sz val="10"/>
        <color theme="1"/>
        <rFont val="Arial"/>
        <family val="2"/>
      </rPr>
      <t>Result: 15,992 BTU/HPhr</t>
    </r>
  </si>
  <si>
    <t>Total number of active wellhead compressors in a year, operating factor</t>
  </si>
  <si>
    <r>
      <t>(CH</t>
    </r>
    <r>
      <rPr>
        <vertAlign val="subscript"/>
        <sz val="10"/>
        <color theme="1"/>
        <rFont val="Arial"/>
        <family val="2"/>
      </rPr>
      <t>4</t>
    </r>
    <r>
      <rPr>
        <sz val="10"/>
        <color theme="1"/>
        <rFont val="Arial"/>
        <family val="2"/>
      </rPr>
      <t xml:space="preserve"> EF + CO</t>
    </r>
    <r>
      <rPr>
        <vertAlign val="subscript"/>
        <sz val="10"/>
        <color theme="1"/>
        <rFont val="Arial"/>
        <family val="2"/>
      </rPr>
      <t>2</t>
    </r>
    <r>
      <rPr>
        <sz val="10"/>
        <color theme="1"/>
        <rFont val="Arial"/>
        <family val="2"/>
      </rPr>
      <t xml:space="preserve"> EF) * Total number of active wellhead compressors in a year * Operating factor(CH</t>
    </r>
    <r>
      <rPr>
        <vertAlign val="subscript"/>
        <sz val="10"/>
        <color theme="1"/>
        <rFont val="Arial"/>
        <family val="2"/>
      </rPr>
      <t>4</t>
    </r>
    <r>
      <rPr>
        <sz val="10"/>
        <color theme="1"/>
        <rFont val="Arial"/>
        <family val="2"/>
      </rPr>
      <t xml:space="preserve"> EF + CO</t>
    </r>
    <r>
      <rPr>
        <vertAlign val="subscript"/>
        <sz val="10"/>
        <color theme="1"/>
        <rFont val="Arial"/>
        <family val="2"/>
      </rPr>
      <t>2</t>
    </r>
    <r>
      <rPr>
        <sz val="10"/>
        <color theme="1"/>
        <rFont val="Arial"/>
        <family val="2"/>
      </rPr>
      <t xml:space="preserve"> EF) * Total number of active wellhead compressors in a year * Operating factor</t>
    </r>
  </si>
  <si>
    <r>
      <t>scf CH</t>
    </r>
    <r>
      <rPr>
        <vertAlign val="subscript"/>
        <sz val="10"/>
        <color theme="1"/>
        <rFont val="Arial"/>
        <family val="2"/>
      </rPr>
      <t>4</t>
    </r>
    <r>
      <rPr>
        <sz val="10"/>
        <color theme="1"/>
        <rFont val="Arial"/>
        <family val="2"/>
      </rPr>
      <t>/compressorscf CH</t>
    </r>
    <r>
      <rPr>
        <vertAlign val="subscript"/>
        <sz val="10"/>
        <color theme="1"/>
        <rFont val="Arial"/>
        <family val="2"/>
      </rPr>
      <t>4</t>
    </r>
    <r>
      <rPr>
        <sz val="10"/>
        <color theme="1"/>
        <rFont val="Arial"/>
        <family val="2"/>
      </rPr>
      <t>/compressor</t>
    </r>
  </si>
  <si>
    <r>
      <t>EF: GRI - 94 - Methane Emissions from the Natural Gas Industry, Volume 11, page no. 11
1) Compressor exhaust vented (gas engines): 0.24 scf CH</t>
    </r>
    <r>
      <rPr>
        <vertAlign val="subscript"/>
        <sz val="10"/>
        <color theme="1"/>
        <rFont val="Arial"/>
        <family val="2"/>
      </rPr>
      <t>4</t>
    </r>
    <r>
      <rPr>
        <sz val="10"/>
        <color theme="1"/>
        <rFont val="Arial"/>
        <family val="2"/>
      </rPr>
      <t>/HPhr
AFs: From 2008 NG Inventory
1) 52,434 total MMHPhr for all gas wells
2) 32,233 total compressors (small and large)EF: GRI - 94 - Methane Emissions from the Natural Gas Industry, Volume 11, page no. 11
1) Compressor exhaust vented (gas engines): 0.24 scf CH</t>
    </r>
    <r>
      <rPr>
        <vertAlign val="subscript"/>
        <sz val="10"/>
        <color theme="1"/>
        <rFont val="Arial"/>
        <family val="2"/>
      </rPr>
      <t>4</t>
    </r>
    <r>
      <rPr>
        <sz val="10"/>
        <color theme="1"/>
        <rFont val="Arial"/>
        <family val="2"/>
      </rPr>
      <t>/HPhr
AFs: From 2008 NG Inventory
1) 52,434 total MMHPhr for all gas wells
2) 32,233 total compressors (small and large)</t>
    </r>
  </si>
  <si>
    <t>EF: 2008 Petroleum ("Gas Engines") &amp; NG ("Gas Engines", all regions) Inventories
AFs:
-"Gas Engines" MMHPhr for All gas wells (Assumes that there are no gas engines in the North East Region. Low pressure gas from wells in this region is not used to drive engines)
-"Small Reciprocating Comp." (Improvement from 033006.NEMS Regional Activity Factors.mem and background Excel File, GRI - 94 - Methane Emissions from the Natural Gas Industry - Volume 5)
-"Large Reciprocating Comp." (GRI - 94 - Methane Emissions from the Natural Gas Industry, Volume 5, page no. 69 AND GRI - 94 - Methane Emissions from the Natural Gas Industry, Volume 8, page no. 73, table 5-1)EF: 2008 Petroleum ("Gas Engines") &amp; NG ("Gas Engines", all regions) Inventories
AFs:
-"Gas Engines" MMHPhr for All gas wells (Assumes that there are no gas engines in the North East Region. Low pressure gas from wells in this region is not used to drive engines)
-"Small Reciprocating Comp." (Improvement from 033006.NEMS Regional Activity Factors.mem and background Excel File, GRI - 94 - Methane Emissions from the Natural Gas Industry - Volume 5)
-"Large Reciprocating Comp." (GRI - 94 - Methane Emissions from the Natural Gas Industry, Volume 5, page no. 69 AND GRI - 94 - Methane Emissions from the Natural Gas Industry, Volume 8, page no. 73, table 5-1)</t>
  </si>
  <si>
    <t>tCO2/compressor</t>
  </si>
  <si>
    <r>
      <t>EF:
1) GRI - 94 - Methane Emissions from the Natural Gas Industry, Volume 11, page no. 11
Compressor exhaust vented (gas engines) = 0.24 scf CH</t>
    </r>
    <r>
      <rPr>
        <vertAlign val="subscript"/>
        <sz val="10"/>
        <color theme="1"/>
        <rFont val="Arial"/>
        <family val="2"/>
      </rPr>
      <t>4</t>
    </r>
    <r>
      <rPr>
        <sz val="10"/>
        <color theme="1"/>
        <rFont val="Arial"/>
        <family val="2"/>
      </rPr>
      <t>/HPhr
2) 2004 API Compendium.  Table 4-1. pg 4-8 (PDF pg 81)
EF for "Natural Gas (Pipeline)" fuel; Low Heating Value] = 0.0531 tonnes CO</t>
    </r>
    <r>
      <rPr>
        <vertAlign val="subscript"/>
        <sz val="10"/>
        <color theme="1"/>
        <rFont val="Arial"/>
        <family val="2"/>
      </rPr>
      <t>2</t>
    </r>
    <r>
      <rPr>
        <sz val="10"/>
        <color theme="1"/>
        <rFont val="Arial"/>
        <family val="2"/>
      </rPr>
      <t>/10^6 BTU
AFs: From 2008 NG Inventory
1) 52,434 total MMHPhr for all gas wells
2) 32,233 total compressors (small and large)EF:
1) GRI - 94 - Methane Emissions from the Natural Gas Industry, Volume 11, page no. 11
Compressor exhaust vented (gas engines) = 0.24 scf CH</t>
    </r>
    <r>
      <rPr>
        <vertAlign val="subscript"/>
        <sz val="10"/>
        <color theme="1"/>
        <rFont val="Arial"/>
        <family val="2"/>
      </rPr>
      <t>4</t>
    </r>
    <r>
      <rPr>
        <sz val="10"/>
        <color theme="1"/>
        <rFont val="Arial"/>
        <family val="2"/>
      </rPr>
      <t>/HPhr
2) 2004 API Compendium.  Table 4-1. pg 4-8 (PDF pg 81)
EF for "Natural Gas (Pipeline)" fuel; Low Heating Value] = 0.0531 tonnes CO</t>
    </r>
    <r>
      <rPr>
        <vertAlign val="subscript"/>
        <sz val="10"/>
        <color theme="1"/>
        <rFont val="Arial"/>
        <family val="2"/>
      </rPr>
      <t>2</t>
    </r>
    <r>
      <rPr>
        <sz val="10"/>
        <color theme="1"/>
        <rFont val="Arial"/>
        <family val="2"/>
      </rPr>
      <t>/10^6 BTU
AFs: From 2008 NG Inventory
1) 52,434 total MMHPhr for all gas wells
2) 32,233 total compressors (small and large)</t>
    </r>
  </si>
  <si>
    <r>
      <t xml:space="preserve">1) </t>
    </r>
    <r>
      <rPr>
        <sz val="10"/>
        <color theme="1"/>
        <rFont val="Arial"/>
        <family val="2"/>
      </rPr>
      <t>This tool is on a basin basis to simulate reporting requirements in the Rule.1) This tool is on a basin basis to simulate reporting requirements in the Rule.</t>
    </r>
  </si>
  <si>
    <r>
      <t>2)</t>
    </r>
    <r>
      <rPr>
        <sz val="10"/>
        <color theme="1"/>
        <rFont val="Arial"/>
        <family val="2"/>
      </rPr>
      <t xml:space="preserve"> This tool excludes gas well venting during well completions &amp; workovers for wells w/o hydraulic fracturing (Sources #5 and #7).  This is because the emissions per well are miniscule when compared to the emissions from wells WITH hydraulic fracturing (Sources #6 and 8).2) This tool excludes gas well venting during well completions &amp; workovers for wells w/o hydraulic fracturing (Sources #5 and #7).  This is because the emissions per well are miniscule when compared to the emissions from wells WITH hydraulic fracturing (Sources #6 and 8).</t>
    </r>
  </si>
  <si>
    <r>
      <t>3)</t>
    </r>
    <r>
      <rPr>
        <sz val="10"/>
        <color theme="1"/>
        <rFont val="Arial"/>
        <family val="2"/>
      </rPr>
      <t xml:space="preserve"> The following sources were not explicitly included in the screening tool and are grouped into "Other sources" on the "Emissions Calcs" sheet:</t>
    </r>
    <r>
      <rPr>
        <sz val="10"/>
        <color theme="1"/>
        <rFont val="Arial"/>
        <family val="2"/>
      </rPr>
      <t xml:space="preserve">
Well testing venting and flaring (#12), EOR injection pump blowdown (#16), Acid gas removal vent stack (#17), EOR hydrocarbon liquids dissolved CO</t>
    </r>
    <r>
      <rPr>
        <vertAlign val="subscript"/>
        <sz val="10"/>
        <color theme="1"/>
        <rFont val="Arial"/>
        <family val="2"/>
      </rPr>
      <t>2</t>
    </r>
    <r>
      <rPr>
        <sz val="10"/>
        <color theme="1"/>
        <rFont val="Arial"/>
        <family val="2"/>
      </rPr>
      <t xml:space="preserve"> (#18), Equipment Leaks (valves, connectors, flanges, etc.) [#21]3) The following sources were not explicitly included in the screening tool and are grouped into "Other sources" on the "Emissions Calcs" sheet:</t>
    </r>
    <r>
      <rPr>
        <sz val="10"/>
        <color theme="1"/>
        <rFont val="Arial"/>
        <family val="2"/>
      </rPr>
      <t xml:space="preserve">
Well testing venting and flaring (#12), EOR injection pump blowdown (#16), Acid gas removal vent stack (#17), EOR hydrocarbon liquids dissolved CO</t>
    </r>
    <r>
      <rPr>
        <vertAlign val="subscript"/>
        <sz val="10"/>
        <color theme="1"/>
        <rFont val="Arial"/>
        <family val="2"/>
      </rPr>
      <t>2</t>
    </r>
    <r>
      <rPr>
        <sz val="10"/>
        <color theme="1"/>
        <rFont val="Arial"/>
        <family val="2"/>
      </rPr>
      <t xml:space="preserve"> (#18), Equipment Leaks (valves, connectors, flanges, etc.) [#21]</t>
    </r>
  </si>
  <si>
    <r>
      <t>4)</t>
    </r>
    <r>
      <rPr>
        <sz val="10"/>
        <color theme="1"/>
        <rFont val="Arial"/>
        <family val="2"/>
      </rPr>
      <t xml:space="preserve"> Combustion emissions are calculated using CO</t>
    </r>
    <r>
      <rPr>
        <vertAlign val="subscript"/>
        <sz val="10"/>
        <color theme="1"/>
        <rFont val="Arial"/>
        <family val="2"/>
      </rPr>
      <t>2</t>
    </r>
    <r>
      <rPr>
        <sz val="10"/>
        <color theme="1"/>
        <rFont val="Arial"/>
        <family val="2"/>
      </rPr>
      <t xml:space="preserve"> and CH</t>
    </r>
    <r>
      <rPr>
        <vertAlign val="subscript"/>
        <sz val="10"/>
        <color theme="1"/>
        <rFont val="Arial"/>
        <family val="2"/>
      </rPr>
      <t>4</t>
    </r>
    <r>
      <rPr>
        <sz val="10"/>
        <color theme="1"/>
        <rFont val="Arial"/>
        <family val="2"/>
      </rPr>
      <t xml:space="preserve"> EFs with the assumption of 98% efficiency.  N</t>
    </r>
    <r>
      <rPr>
        <vertAlign val="subscript"/>
        <sz val="10"/>
        <color theme="1"/>
        <rFont val="Arial"/>
        <family val="2"/>
      </rPr>
      <t>2</t>
    </r>
    <r>
      <rPr>
        <sz val="10"/>
        <color theme="1"/>
        <rFont val="Arial"/>
        <family val="2"/>
      </rPr>
      <t>O emissions are excluded for these sources.</t>
    </r>
  </si>
  <si>
    <r>
      <t>5)</t>
    </r>
    <r>
      <rPr>
        <sz val="10"/>
        <color theme="1"/>
        <rFont val="Arial"/>
        <family val="2"/>
      </rPr>
      <t xml:space="preserve"> There is a 5 million BTU/hour heat content requirement for combustion sources in the rule.  This provision allows for the inclusion of combustion emissions sources for: 1) drilling rigs, 2) completions/workovers (for hydraulic fracturing only), 3) wellhead compressors.  Dehydrators, electrical generators, steam boilers, and heaters are excluded.  It is assumed that these sources burn only field gas with an average heat content of 1500 BTU/hour.</t>
    </r>
  </si>
  <si>
    <t xml:space="preserve">
</t>
  </si>
  <si>
    <r>
      <t>6)</t>
    </r>
    <r>
      <rPr>
        <sz val="10"/>
        <color theme="1"/>
        <rFont val="Arial"/>
        <family val="2"/>
      </rPr>
      <t xml:space="preserve"> Well drilling and completion equipment" and "workover equipment" assume diesel/gas oil is used as fuel by all drilling rigs.</t>
    </r>
  </si>
  <si>
    <t>Emissions Data:</t>
  </si>
  <si>
    <t>Sources:</t>
  </si>
  <si>
    <t>EPA. Inventory of U.S. Greenhouse Gas Emissions and Sinks: 1990-2006. April 2008. epa.gov/climatechange/emissions/usgginv_archive.html</t>
  </si>
  <si>
    <t>2008 Emissions (Bcf):</t>
  </si>
  <si>
    <t>Gas well completions and Workovers</t>
  </si>
  <si>
    <t>Gas well liquid unloading</t>
  </si>
  <si>
    <t>Pneumatic devices</t>
  </si>
  <si>
    <t>Storage tank venting</t>
  </si>
  <si>
    <t>Compressor fugitives, venting, and engine exhaust</t>
  </si>
  <si>
    <t>Dehydrators and pumps</t>
  </si>
  <si>
    <t>Meters and pipeline leaks</t>
  </si>
  <si>
    <t>Other sources</t>
  </si>
  <si>
    <t>Offshore operations (federal)</t>
  </si>
  <si>
    <t>Total</t>
  </si>
  <si>
    <t>Total (minus Offshore operations)</t>
  </si>
  <si>
    <r>
      <rPr>
        <vertAlign val="superscript"/>
        <sz val="10"/>
        <color theme="1"/>
        <rFont val="Arial"/>
        <family val="2"/>
      </rPr>
      <t>1</t>
    </r>
    <r>
      <rPr>
        <sz val="10"/>
        <color theme="1"/>
        <rFont val="Arial"/>
        <family val="2"/>
      </rPr>
      <t xml:space="preserve">These percentages are used for calculating emissions since this tool is for onshore production facilities and cannot include offshore emissions.  </t>
    </r>
  </si>
  <si>
    <t>Conversions:</t>
  </si>
  <si>
    <t>From</t>
  </si>
  <si>
    <t>To</t>
  </si>
  <si>
    <t>Factor</t>
  </si>
  <si>
    <r>
      <t>scf CH</t>
    </r>
    <r>
      <rPr>
        <vertAlign val="subscript"/>
        <sz val="10"/>
        <color theme="1"/>
        <rFont val="Arial"/>
        <family val="2"/>
      </rPr>
      <t>4</t>
    </r>
  </si>
  <si>
    <r>
      <t>tCO</t>
    </r>
    <r>
      <rPr>
        <vertAlign val="subscript"/>
        <sz val="10"/>
        <color theme="1"/>
        <rFont val="Arial"/>
        <family val="2"/>
      </rPr>
      <t>2</t>
    </r>
    <r>
      <rPr>
        <sz val="10"/>
        <color theme="1"/>
        <rFont val="Arial"/>
        <family val="2"/>
      </rPr>
      <t>e</t>
    </r>
  </si>
  <si>
    <r>
      <t>scf CO</t>
    </r>
    <r>
      <rPr>
        <vertAlign val="subscript"/>
        <sz val="10"/>
        <color theme="1"/>
        <rFont val="Arial"/>
        <family val="2"/>
      </rPr>
      <t>2</t>
    </r>
    <r>
      <rPr>
        <vertAlign val="superscript"/>
        <sz val="10"/>
        <color theme="1"/>
        <rFont val="Arial"/>
        <family val="2"/>
      </rPr>
      <t>1</t>
    </r>
  </si>
  <si>
    <r>
      <t>g CH</t>
    </r>
    <r>
      <rPr>
        <vertAlign val="subscript"/>
        <sz val="10"/>
        <color theme="1"/>
        <rFont val="Arial"/>
        <family val="2"/>
      </rPr>
      <t>4</t>
    </r>
  </si>
  <si>
    <r>
      <t>g CO</t>
    </r>
    <r>
      <rPr>
        <vertAlign val="subscript"/>
        <sz val="10"/>
        <color theme="1"/>
        <rFont val="Arial"/>
        <family val="2"/>
      </rPr>
      <t>2</t>
    </r>
    <r>
      <rPr>
        <sz val="10"/>
        <color theme="1"/>
        <rFont val="Arial"/>
        <family val="2"/>
      </rPr>
      <t>e</t>
    </r>
  </si>
  <si>
    <r>
      <rPr>
        <vertAlign val="superscript"/>
        <sz val="10"/>
        <color theme="1"/>
        <rFont val="Arial"/>
        <family val="2"/>
      </rPr>
      <t>1</t>
    </r>
    <r>
      <rPr>
        <sz val="10"/>
        <color theme="1"/>
        <rFont val="Arial"/>
        <family val="2"/>
      </rPr>
      <t>Used a CO</t>
    </r>
    <r>
      <rPr>
        <vertAlign val="subscript"/>
        <sz val="10"/>
        <color theme="1"/>
        <rFont val="Arial"/>
        <family val="2"/>
      </rPr>
      <t>2</t>
    </r>
    <r>
      <rPr>
        <sz val="10"/>
        <color theme="1"/>
        <rFont val="Arial"/>
        <family val="2"/>
      </rPr>
      <t xml:space="preserve"> gas density of 52.62 g/ft^3 to convert from volume to mass (@ 1.013 bar and 59°F).  Source: encyclopedia.airliquide.com</t>
    </r>
  </si>
  <si>
    <r>
      <t xml:space="preserve">Applicability Tool Disclaimer
</t>
    </r>
    <r>
      <rPr>
        <sz val="10"/>
        <color theme="1"/>
        <rFont val="Arial"/>
        <family val="2"/>
      </rPr>
      <t>The content provided in the applicability tool is intended solely as compliance assistance for potential reporters to aid in assessing whether they are required to report under the Greenhouse Gas Mandatory Reporting Rule. Any variation between the rule and the information provided in this tool is unintentional, and, in the case of such variations, the requirements of the rule govern. The applicability tool and its contents do not constitute rulemaking or a decision by EPA and may not be relied upon to create a substantive or procedural right or benefit enforceable by law, or in equity, by any person. While this tool is designed to help potential reporters comply with the rule, compliance with all Federal, State, and Local laws and regulations remains the sole responsibility of each facility owner or operator subject to those laws and regulations. Use of this tool does not constitute an assessment by EPA of the applicability of the rule to any particular facility. In any particular case, EPA will make its assessment by applying the law and regulations to the specific facts of the case. No information entered by the user is maintained by EPA, and any results generated by the applicability tool, along with additional information</t>
    </r>
    <r>
      <rPr>
        <sz val="10"/>
        <color theme="1"/>
        <rFont val="Arial"/>
        <family val="2"/>
      </rPr>
      <t xml:space="preserve">
entered by the user, do not constitute a submission for purposes of compliance with the rule.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</si>
</sst>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164" formatCode="[$-409]#,##0"/>
    <numFmt numFmtId="165" formatCode="[$-409]#,##0.00"/>
    <numFmt numFmtId="166" formatCode="yyyy"/>
    <numFmt numFmtId="167" formatCode="[$-409]m/d/yyyy"/>
    <numFmt numFmtId="168" formatCode="[$-409]0"/>
    <numFmt numFmtId="169" formatCode="[$-409]General"/>
    <numFmt numFmtId="170" formatCode="0.00000000"/>
    <numFmt numFmtId="171" formatCode="[$-409]0.00"/>
    <numFmt numFmtId="172" formatCode="[$-409]0%"/>
    <numFmt numFmtId="173" formatCode="0.000000000"/>
    <numFmt numFmtId="174" formatCode="mm/dd/yy"/>
    <numFmt numFmtId="175" formatCode="General&quot; &quot;"/>
    <numFmt numFmtId="176" formatCode="[$-409]0.00%"/>
    <numFmt numFmtId="177" formatCode="0.0"/>
    <numFmt numFmtId="178" formatCode="&quot;$&quot;#,##0.00&quot; &quot;;[Red]&quot;($&quot;#,##0.00&quot;)&quot;"/>
    <numFmt numFmtId="179" formatCode="&quot; &quot;#,##0.00&quot; &quot;;&quot; (&quot;#,##0.00&quot;)&quot;;&quot; -&quot;#&quot; &quot;;&quot; &quot;@&quot; &quot;"/>
    <numFmt numFmtId="180" formatCode="[$$-409]#,##0.00;[Red]&quot;-&quot;[$$-409]#,##0.00"/>
  </numFmts>
  <fonts count="36">
    <font>
      <sz val="11"/>
      <color theme="1"/>
      <name val="Arial"/>
      <family val="2"/>
    </font>
    <font>
      <sz val="11"/>
      <color theme="1"/>
      <name val="Arial"/>
      <family val="2"/>
    </font>
    <font>
      <u/>
      <sz val="10"/>
      <color rgb="FF0000FF"/>
      <name val="Arial"/>
      <family val="2"/>
    </font>
    <font>
      <b/>
      <i/>
      <sz val="16"/>
      <color theme="1"/>
      <name val="Arial"/>
      <family val="2"/>
    </font>
    <font>
      <sz val="10"/>
      <color theme="1"/>
      <name val="Arial"/>
      <family val="2"/>
    </font>
    <font>
      <sz val="11"/>
      <color rgb="FF000000"/>
      <name val="Calibri"/>
      <family val="2"/>
    </font>
    <font>
      <b/>
      <i/>
      <u/>
      <sz val="11"/>
      <color theme="1"/>
      <name val="Arial"/>
      <family val="2"/>
    </font>
    <font>
      <b/>
      <sz val="14"/>
      <color rgb="FF000080"/>
      <name val="Arial"/>
      <family val="2"/>
    </font>
    <font>
      <b/>
      <i/>
      <sz val="12"/>
      <color rgb="FFFF0000"/>
      <name val="Arial"/>
      <family val="2"/>
    </font>
    <font>
      <b/>
      <sz val="10"/>
      <color rgb="FFFFFFFF"/>
      <name val="Arial"/>
      <family val="2"/>
    </font>
    <font>
      <sz val="10"/>
      <color rgb="FFFFFFFF"/>
      <name val="Arial"/>
      <family val="2"/>
    </font>
    <font>
      <sz val="10"/>
      <color rgb="FF333333"/>
      <name val="Arial"/>
      <family val="2"/>
    </font>
    <font>
      <b/>
      <sz val="12"/>
      <color rgb="FF000080"/>
      <name val="Arial"/>
      <family val="2"/>
    </font>
    <font>
      <b/>
      <sz val="9"/>
      <color theme="1"/>
      <name val="Arial"/>
      <family val="2"/>
    </font>
    <font>
      <sz val="9"/>
      <color theme="1"/>
      <name val="Arial"/>
      <family val="2"/>
    </font>
    <font>
      <b/>
      <sz val="10"/>
      <color theme="1"/>
      <name val="Arial"/>
      <family val="2"/>
    </font>
    <font>
      <b/>
      <sz val="9"/>
      <color rgb="FF000000"/>
      <name val="Arial"/>
      <family val="2"/>
    </font>
    <font>
      <sz val="9"/>
      <color rgb="FF000000"/>
      <name val="Arial"/>
      <family val="2"/>
    </font>
    <font>
      <sz val="10"/>
      <color rgb="FFFF0000"/>
      <name val="Arial"/>
      <family val="2"/>
    </font>
    <font>
      <b/>
      <sz val="14"/>
      <color theme="1"/>
      <name val="Arial"/>
      <family val="2"/>
    </font>
    <font>
      <b/>
      <sz val="12"/>
      <color theme="1"/>
      <name val="Calibri"/>
      <family val="2"/>
    </font>
    <font>
      <b/>
      <u/>
      <sz val="10"/>
      <color theme="1"/>
      <name val="Arial"/>
      <family val="2"/>
    </font>
    <font>
      <vertAlign val="subscript"/>
      <sz val="10"/>
      <color theme="1"/>
      <name val="Arial"/>
      <family val="2"/>
    </font>
    <font>
      <b/>
      <sz val="14"/>
      <color rgb="FFFFFFFF"/>
      <name val="Arial"/>
      <family val="2"/>
    </font>
    <font>
      <b/>
      <vertAlign val="subscript"/>
      <sz val="14"/>
      <color rgb="FFFFFFFF"/>
      <name val="Arial"/>
      <family val="2"/>
    </font>
    <font>
      <b/>
      <sz val="11"/>
      <color theme="1"/>
      <name val="Arial"/>
      <family val="2"/>
    </font>
    <font>
      <i/>
      <sz val="10"/>
      <color theme="1"/>
      <name val="Arial"/>
      <family val="2"/>
    </font>
    <font>
      <b/>
      <vertAlign val="subscript"/>
      <sz val="10"/>
      <color theme="1"/>
      <name val="Arial"/>
      <family val="2"/>
    </font>
    <font>
      <b/>
      <sz val="10"/>
      <color rgb="FFFF0000"/>
      <name val="Arial"/>
      <family val="2"/>
    </font>
    <font>
      <b/>
      <sz val="12"/>
      <color rgb="FFFFFFFF"/>
      <name val="Arial"/>
      <family val="2"/>
    </font>
    <font>
      <b/>
      <vertAlign val="subscript"/>
      <sz val="12"/>
      <color rgb="FFFFFFFF"/>
      <name val="Arial"/>
      <family val="2"/>
    </font>
    <font>
      <i/>
      <sz val="16"/>
      <color theme="1"/>
      <name val="Arial"/>
      <family val="2"/>
    </font>
    <font>
      <vertAlign val="superscript"/>
      <sz val="10"/>
      <color theme="1"/>
      <name val="Arial"/>
      <family val="2"/>
    </font>
    <font>
      <b/>
      <sz val="12"/>
      <color theme="1"/>
      <name val="Arial"/>
      <family val="2"/>
    </font>
    <font>
      <sz val="10"/>
      <color theme="1"/>
      <name val="Arial1"/>
    </font>
    <font>
      <b/>
      <sz val="16"/>
      <color theme="1"/>
      <name val="Arial"/>
      <family val="2"/>
    </font>
  </fonts>
  <fills count="9">
    <fill>
      <patternFill patternType="none"/>
    </fill>
    <fill>
      <patternFill patternType="gray125"/>
    </fill>
    <fill>
      <patternFill patternType="solid">
        <fgColor rgb="FF000080"/>
        <bgColor rgb="FF000080"/>
      </patternFill>
    </fill>
    <fill>
      <patternFill patternType="solid">
        <fgColor rgb="FFFFFFCC"/>
        <bgColor rgb="FFFFFFCC"/>
      </patternFill>
    </fill>
    <fill>
      <patternFill patternType="solid">
        <fgColor rgb="FFFFFFFF"/>
        <bgColor rgb="FFFFFFFF"/>
      </patternFill>
    </fill>
    <fill>
      <patternFill patternType="solid">
        <fgColor rgb="FF000000"/>
        <bgColor rgb="FF000000"/>
      </patternFill>
    </fill>
    <fill>
      <patternFill patternType="solid">
        <fgColor rgb="FFC0C0C0"/>
        <bgColor rgb="FFC0C0C0"/>
      </patternFill>
    </fill>
    <fill>
      <patternFill patternType="solid">
        <fgColor rgb="FFFFFF00"/>
        <bgColor rgb="FFFFFF00"/>
      </patternFill>
    </fill>
    <fill>
      <patternFill patternType="solid">
        <fgColor rgb="FFCCFFCC"/>
        <bgColor rgb="FFCCFFCC"/>
      </patternFill>
    </fill>
  </fills>
  <borders count="24">
    <border>
      <left/>
      <right/>
      <top/>
      <bottom/>
      <diagonal/>
    </border>
    <border>
      <left/>
      <right/>
      <top/>
      <bottom style="medium">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medium">
        <color rgb="FF000000"/>
      </right>
      <top style="medium">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medium">
        <color rgb="FF000000"/>
      </right>
      <top style="thin">
        <color rgb="FF000000"/>
      </top>
      <bottom style="thin">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thin">
        <color rgb="FF000000"/>
      </left>
      <right style="medium">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medium">
        <color rgb="FF000000"/>
      </right>
      <top/>
      <bottom style="medium">
        <color rgb="FF000000"/>
      </bottom>
      <diagonal/>
    </border>
    <border>
      <left style="thin">
        <color rgb="FF000000"/>
      </left>
      <right style="thin">
        <color rgb="FF000000"/>
      </right>
      <top/>
      <bottom/>
      <diagonal/>
    </border>
  </borders>
  <cellStyleXfs count="13">
    <xf numFmtId="0" fontId="0" fillId="0" borderId="0"/>
    <xf numFmtId="179" fontId="1" fillId="0" borderId="0"/>
    <xf numFmtId="0" fontId="1" fillId="0" borderId="0"/>
    <xf numFmtId="0" fontId="2" fillId="0" borderId="0"/>
    <xf numFmtId="0" fontId="1" fillId="0" borderId="0"/>
    <xf numFmtId="0" fontId="1" fillId="0" borderId="0"/>
    <xf numFmtId="0" fontId="3" fillId="0" borderId="0">
      <alignment horizontal="center"/>
    </xf>
    <xf numFmtId="0" fontId="3" fillId="0" borderId="0">
      <alignment horizontal="center" textRotation="90"/>
    </xf>
    <xf numFmtId="169" fontId="4" fillId="0" borderId="0"/>
    <xf numFmtId="169" fontId="5" fillId="0" borderId="0"/>
    <xf numFmtId="172" fontId="1" fillId="0" borderId="0"/>
    <xf numFmtId="0" fontId="6" fillId="0" borderId="0"/>
    <xf numFmtId="180" fontId="6" fillId="0" borderId="0"/>
  </cellStyleXfs>
  <cellXfs count="243">
    <xf numFmtId="0" fontId="0" fillId="0" borderId="0" xfId="0"/>
    <xf numFmtId="0" fontId="7" fillId="0" borderId="0" xfId="0" applyFont="1" applyAlignment="1">
      <alignment horizontal="left"/>
    </xf>
    <xf numFmtId="0" fontId="8" fillId="0" borderId="0" xfId="0" applyFont="1" applyAlignment="1">
      <alignment horizontal="left"/>
    </xf>
    <xf numFmtId="0" fontId="4" fillId="0" borderId="0" xfId="0" applyFont="1"/>
    <xf numFmtId="0" fontId="4" fillId="0" borderId="0" xfId="0" applyFont="1" applyAlignment="1">
      <alignment horizontal="left"/>
    </xf>
    <xf numFmtId="0" fontId="9" fillId="2" borderId="0" xfId="0" applyFont="1" applyFill="1" applyAlignment="1">
      <alignment horizontal="left"/>
    </xf>
    <xf numFmtId="0" fontId="9" fillId="2" borderId="0" xfId="0" applyFont="1" applyFill="1"/>
    <xf numFmtId="0" fontId="9" fillId="2" borderId="0" xfId="0" applyFont="1" applyFill="1" applyAlignment="1">
      <alignment horizontal="center"/>
    </xf>
    <xf numFmtId="0" fontId="4" fillId="3" borderId="0" xfId="0" applyFont="1" applyFill="1" applyAlignment="1">
      <alignment horizontal="left"/>
    </xf>
    <xf numFmtId="0" fontId="4" fillId="3" borderId="0" xfId="0" applyFont="1" applyFill="1" applyAlignment="1">
      <alignment horizontal="center"/>
    </xf>
    <xf numFmtId="0" fontId="10" fillId="0" borderId="0" xfId="0" applyFont="1"/>
    <xf numFmtId="0" fontId="11" fillId="0" borderId="0" xfId="0" applyFont="1"/>
    <xf numFmtId="169" fontId="2" fillId="0" borderId="0" xfId="3" applyNumberFormat="1" applyFill="1" applyBorder="1" applyAlignment="1" applyProtection="1"/>
    <xf numFmtId="0" fontId="2" fillId="0" borderId="0" xfId="0" applyFont="1"/>
    <xf numFmtId="0" fontId="12" fillId="0" borderId="0" xfId="0" applyFont="1"/>
    <xf numFmtId="0" fontId="13" fillId="0" borderId="0" xfId="0" applyFont="1" applyAlignment="1">
      <alignment horizontal="center" wrapText="1"/>
    </xf>
    <xf numFmtId="0" fontId="14" fillId="0" borderId="0" xfId="0" applyFont="1" applyAlignment="1">
      <alignment wrapText="1"/>
    </xf>
    <xf numFmtId="0" fontId="15" fillId="0" borderId="0" xfId="0" applyFont="1" applyAlignment="1">
      <alignment horizontal="center" wrapText="1"/>
    </xf>
    <xf numFmtId="0" fontId="15" fillId="0" borderId="0" xfId="0" applyFont="1" applyAlignment="1">
      <alignment wrapText="1"/>
    </xf>
    <xf numFmtId="166" fontId="0" fillId="0" borderId="0" xfId="0" applyNumberFormat="1"/>
    <xf numFmtId="0" fontId="15" fillId="0" borderId="0" xfId="0" applyFont="1"/>
    <xf numFmtId="164" fontId="15" fillId="0" borderId="0" xfId="0" applyNumberFormat="1" applyFont="1"/>
    <xf numFmtId="0" fontId="0" fillId="0" borderId="0" xfId="0" applyFill="1" applyBorder="1"/>
    <xf numFmtId="169" fontId="2" fillId="0" borderId="0" xfId="3" applyNumberFormat="1" applyFill="1" applyBorder="1" applyAlignment="1" applyProtection="1">
      <alignment horizontal="left"/>
    </xf>
    <xf numFmtId="164" fontId="0" fillId="0" borderId="0" xfId="0" applyNumberFormat="1"/>
    <xf numFmtId="165" fontId="0" fillId="0" borderId="0" xfId="0" applyNumberFormat="1"/>
    <xf numFmtId="0" fontId="15" fillId="0" borderId="1" xfId="0" applyFont="1" applyBorder="1"/>
    <xf numFmtId="0" fontId="0" fillId="0" borderId="1" xfId="0" applyBorder="1"/>
    <xf numFmtId="176" fontId="15" fillId="0" borderId="0" xfId="0" applyNumberFormat="1" applyFont="1"/>
    <xf numFmtId="0" fontId="15" fillId="0" borderId="0" xfId="0" applyFont="1" applyBorder="1"/>
    <xf numFmtId="0" fontId="0" fillId="0" borderId="0" xfId="0" applyBorder="1"/>
    <xf numFmtId="0" fontId="4" fillId="0" borderId="0" xfId="0" applyFont="1" applyBorder="1" applyAlignment="1"/>
    <xf numFmtId="0" fontId="15" fillId="0" borderId="0" xfId="0" applyFont="1" applyBorder="1" applyAlignment="1"/>
    <xf numFmtId="172" fontId="15" fillId="0" borderId="0" xfId="0" applyNumberFormat="1" applyFont="1" applyAlignment="1">
      <alignment wrapText="1"/>
    </xf>
    <xf numFmtId="0" fontId="19" fillId="0" borderId="0" xfId="0" applyFont="1"/>
    <xf numFmtId="0" fontId="20" fillId="0" borderId="1" xfId="0" applyFont="1" applyBorder="1" applyAlignment="1"/>
    <xf numFmtId="0" fontId="20" fillId="0" borderId="1" xfId="0" applyFont="1" applyBorder="1" applyAlignment="1">
      <alignment horizontal="center" wrapText="1"/>
    </xf>
    <xf numFmtId="0" fontId="20" fillId="0" borderId="1" xfId="0" applyFont="1" applyBorder="1" applyAlignment="1">
      <alignment wrapText="1"/>
    </xf>
    <xf numFmtId="0" fontId="20" fillId="0" borderId="1" xfId="0" applyFont="1" applyBorder="1" applyAlignment="1">
      <alignment horizontal="left" wrapText="1"/>
    </xf>
    <xf numFmtId="0" fontId="0" fillId="0" borderId="0" xfId="0" applyAlignment="1"/>
    <xf numFmtId="178" fontId="0" fillId="0" borderId="0" xfId="0" applyNumberFormat="1"/>
    <xf numFmtId="0" fontId="4" fillId="0" borderId="0" xfId="0" applyFont="1" applyAlignment="1">
      <alignment horizontal="right"/>
    </xf>
    <xf numFmtId="0" fontId="15" fillId="0" borderId="2" xfId="0" applyFont="1" applyBorder="1"/>
    <xf numFmtId="0" fontId="0" fillId="0" borderId="3" xfId="0" applyBorder="1"/>
    <xf numFmtId="0" fontId="4" fillId="0" borderId="3" xfId="0" applyFont="1" applyBorder="1" applyAlignment="1">
      <alignment horizontal="right"/>
    </xf>
    <xf numFmtId="164" fontId="0" fillId="0" borderId="3" xfId="0" applyNumberFormat="1" applyBorder="1"/>
    <xf numFmtId="0" fontId="0" fillId="0" borderId="4" xfId="0" applyBorder="1"/>
    <xf numFmtId="0" fontId="4" fillId="0" borderId="5" xfId="0" applyFont="1" applyBorder="1"/>
    <xf numFmtId="164" fontId="0" fillId="0" borderId="0" xfId="0" applyNumberFormat="1" applyBorder="1"/>
    <xf numFmtId="0" fontId="4" fillId="0" borderId="0" xfId="0" applyFont="1" applyBorder="1"/>
    <xf numFmtId="0" fontId="0" fillId="0" borderId="6" xfId="0" applyBorder="1"/>
    <xf numFmtId="0" fontId="0" fillId="0" borderId="5" xfId="0" applyBorder="1"/>
    <xf numFmtId="177" fontId="0" fillId="0" borderId="0" xfId="0" applyNumberFormat="1" applyBorder="1"/>
    <xf numFmtId="0" fontId="0" fillId="0" borderId="7" xfId="0" applyBorder="1"/>
    <xf numFmtId="0" fontId="0" fillId="0" borderId="8" xfId="0" applyBorder="1"/>
    <xf numFmtId="0" fontId="4" fillId="0" borderId="8" xfId="0" applyFont="1" applyBorder="1"/>
    <xf numFmtId="0" fontId="0" fillId="0" borderId="9" xfId="0" applyBorder="1"/>
    <xf numFmtId="0" fontId="19" fillId="4" borderId="2" xfId="0" applyFont="1" applyFill="1" applyBorder="1"/>
    <xf numFmtId="0" fontId="0" fillId="4" borderId="3" xfId="0" applyFill="1" applyBorder="1"/>
    <xf numFmtId="0" fontId="0" fillId="4" borderId="10" xfId="0" applyFill="1" applyBorder="1"/>
    <xf numFmtId="167" fontId="19" fillId="4" borderId="2" xfId="0" applyNumberFormat="1" applyFont="1" applyFill="1" applyBorder="1" applyAlignment="1">
      <alignment horizontal="left"/>
    </xf>
    <xf numFmtId="0" fontId="0" fillId="4" borderId="4" xfId="0" applyFill="1" applyBorder="1"/>
    <xf numFmtId="0" fontId="23" fillId="5" borderId="11" xfId="0" applyFont="1" applyFill="1" applyBorder="1" applyAlignment="1">
      <alignment horizontal="center" vertical="center"/>
    </xf>
    <xf numFmtId="0" fontId="23" fillId="5" borderId="11" xfId="0" applyFont="1" applyFill="1" applyBorder="1" applyAlignment="1">
      <alignment horizontal="center" vertical="center" wrapText="1"/>
    </xf>
    <xf numFmtId="0" fontId="0" fillId="4" borderId="6" xfId="0" applyFill="1" applyBorder="1"/>
    <xf numFmtId="164" fontId="4" fillId="0" borderId="13" xfId="0" applyNumberFormat="1" applyFont="1" applyFill="1" applyBorder="1" applyAlignment="1">
      <alignment vertical="center" wrapText="1"/>
    </xf>
    <xf numFmtId="164" fontId="0" fillId="6" borderId="13" xfId="0" applyNumberFormat="1" applyFill="1" applyBorder="1" applyAlignment="1" applyProtection="1">
      <alignment vertical="center"/>
      <protection locked="0"/>
    </xf>
    <xf numFmtId="164" fontId="0" fillId="0" borderId="13" xfId="0" applyNumberFormat="1" applyFill="1" applyBorder="1" applyAlignment="1">
      <alignment vertical="center" wrapText="1"/>
    </xf>
    <xf numFmtId="164" fontId="0" fillId="0" borderId="14" xfId="0" applyNumberFormat="1" applyBorder="1" applyAlignment="1">
      <alignment vertical="center"/>
    </xf>
    <xf numFmtId="164" fontId="21" fillId="0" borderId="15" xfId="0" applyNumberFormat="1" applyFont="1" applyBorder="1" applyAlignment="1">
      <alignment vertical="center" wrapText="1"/>
    </xf>
    <xf numFmtId="164" fontId="21" fillId="5" borderId="16" xfId="0" applyNumberFormat="1" applyFont="1" applyFill="1" applyBorder="1" applyAlignment="1">
      <alignment vertical="center" wrapText="1"/>
    </xf>
    <xf numFmtId="164" fontId="21" fillId="5" borderId="17" xfId="0" applyNumberFormat="1" applyFont="1" applyFill="1" applyBorder="1" applyAlignment="1">
      <alignment vertical="center" wrapText="1"/>
    </xf>
    <xf numFmtId="165" fontId="0" fillId="6" borderId="18" xfId="0" applyNumberFormat="1" applyFill="1" applyBorder="1" applyAlignment="1" applyProtection="1">
      <alignment vertical="center"/>
      <protection locked="0"/>
    </xf>
    <xf numFmtId="164" fontId="0" fillId="0" borderId="18" xfId="0" applyNumberFormat="1" applyBorder="1" applyAlignment="1">
      <alignment vertical="center" wrapText="1"/>
    </xf>
    <xf numFmtId="164" fontId="4" fillId="0" borderId="13" xfId="0" applyNumberFormat="1" applyFont="1" applyBorder="1" applyAlignment="1">
      <alignment horizontal="left" vertical="center" wrapText="1"/>
    </xf>
    <xf numFmtId="164" fontId="0" fillId="0" borderId="13" xfId="0" applyNumberFormat="1" applyBorder="1" applyAlignment="1">
      <alignment vertical="center" wrapText="1"/>
    </xf>
    <xf numFmtId="164" fontId="4" fillId="0" borderId="14" xfId="0" applyNumberFormat="1" applyFont="1" applyBorder="1" applyAlignment="1">
      <alignment horizontal="right" vertical="center" wrapText="1"/>
    </xf>
    <xf numFmtId="165" fontId="0" fillId="6" borderId="13" xfId="0" applyNumberFormat="1" applyFill="1" applyBorder="1" applyAlignment="1" applyProtection="1">
      <alignment vertical="center"/>
      <protection locked="0"/>
    </xf>
    <xf numFmtId="164" fontId="4" fillId="0" borderId="11" xfId="0" applyNumberFormat="1" applyFont="1" applyBorder="1" applyAlignment="1">
      <alignment vertical="center" wrapText="1"/>
    </xf>
    <xf numFmtId="164" fontId="0" fillId="6" borderId="13" xfId="0" applyNumberFormat="1" applyFill="1" applyBorder="1" applyAlignment="1" applyProtection="1">
      <alignment horizontal="right" vertical="center" wrapText="1"/>
      <protection locked="0"/>
    </xf>
    <xf numFmtId="164" fontId="0" fillId="0" borderId="13" xfId="0" applyNumberFormat="1" applyFill="1" applyBorder="1" applyAlignment="1">
      <alignment horizontal="left" vertical="center" wrapText="1"/>
    </xf>
    <xf numFmtId="164" fontId="0" fillId="0" borderId="20" xfId="0" applyNumberFormat="1" applyBorder="1" applyAlignment="1">
      <alignment vertical="center"/>
    </xf>
    <xf numFmtId="164" fontId="4" fillId="6" borderId="13" xfId="0" applyNumberFormat="1" applyFont="1" applyFill="1" applyBorder="1" applyAlignment="1" applyProtection="1">
      <alignment vertical="center" wrapText="1"/>
      <protection locked="0"/>
    </xf>
    <xf numFmtId="165" fontId="4" fillId="6" borderId="13" xfId="0" applyNumberFormat="1" applyFont="1" applyFill="1" applyBorder="1" applyAlignment="1" applyProtection="1">
      <alignment vertical="center" wrapText="1"/>
      <protection locked="0"/>
    </xf>
    <xf numFmtId="164" fontId="4" fillId="0" borderId="13" xfId="0" applyNumberFormat="1" applyFont="1" applyFill="1" applyBorder="1" applyAlignment="1">
      <alignment horizontal="right" vertical="center" wrapText="1"/>
    </xf>
    <xf numFmtId="164" fontId="4" fillId="0" borderId="14" xfId="0" applyNumberFormat="1" applyFont="1" applyFill="1" applyBorder="1" applyAlignment="1">
      <alignment vertical="center" wrapText="1"/>
    </xf>
    <xf numFmtId="164" fontId="4" fillId="6" borderId="13" xfId="0" applyNumberFormat="1" applyFont="1" applyFill="1" applyBorder="1" applyAlignment="1" applyProtection="1">
      <alignment vertical="center"/>
      <protection locked="0"/>
    </xf>
    <xf numFmtId="165" fontId="4" fillId="6" borderId="11" xfId="0" applyNumberFormat="1" applyFont="1" applyFill="1" applyBorder="1" applyAlignment="1" applyProtection="1">
      <alignment vertical="center"/>
      <protection locked="0"/>
    </xf>
    <xf numFmtId="164" fontId="0" fillId="0" borderId="11" xfId="0" applyNumberFormat="1" applyBorder="1" applyAlignment="1">
      <alignment vertical="center" wrapText="1"/>
    </xf>
    <xf numFmtId="164" fontId="4" fillId="7" borderId="13" xfId="0" applyNumberFormat="1" applyFont="1" applyFill="1" applyBorder="1" applyAlignment="1" applyProtection="1">
      <alignment vertical="center"/>
      <protection locked="0"/>
    </xf>
    <xf numFmtId="0" fontId="0" fillId="7" borderId="13" xfId="0" applyFill="1" applyBorder="1" applyAlignment="1">
      <alignment vertical="center" wrapText="1"/>
    </xf>
    <xf numFmtId="164" fontId="4" fillId="7" borderId="14" xfId="0" applyNumberFormat="1" applyFont="1" applyFill="1" applyBorder="1" applyAlignment="1">
      <alignment horizontal="right" vertical="center"/>
    </xf>
    <xf numFmtId="164" fontId="18" fillId="4" borderId="6" xfId="0" applyNumberFormat="1" applyFont="1" applyFill="1" applyBorder="1" applyAlignment="1">
      <alignment vertical="center"/>
    </xf>
    <xf numFmtId="164" fontId="4" fillId="8" borderId="21" xfId="0" applyNumberFormat="1" applyFont="1" applyFill="1" applyBorder="1" applyAlignment="1" applyProtection="1">
      <alignment vertical="center"/>
      <protection locked="0"/>
    </xf>
    <xf numFmtId="164" fontId="0" fillId="8" borderId="21" xfId="0" applyNumberFormat="1" applyFill="1" applyBorder="1" applyAlignment="1">
      <alignment vertical="center" wrapText="1"/>
    </xf>
    <xf numFmtId="165" fontId="4" fillId="8" borderId="18" xfId="0" applyNumberFormat="1" applyFont="1" applyFill="1" applyBorder="1" applyAlignment="1" applyProtection="1">
      <alignment vertical="center"/>
      <protection locked="0"/>
    </xf>
    <xf numFmtId="164" fontId="0" fillId="8" borderId="18" xfId="0" applyNumberFormat="1" applyFill="1" applyBorder="1" applyAlignment="1">
      <alignment vertical="center" wrapText="1"/>
    </xf>
    <xf numFmtId="0" fontId="4" fillId="4" borderId="5" xfId="0" applyFont="1" applyFill="1" applyBorder="1" applyAlignment="1">
      <alignment horizontal="right" vertical="center" wrapText="1"/>
    </xf>
    <xf numFmtId="0" fontId="0" fillId="4" borderId="6" xfId="0" applyFill="1" applyBorder="1" applyAlignment="1" applyProtection="1">
      <alignment vertical="center"/>
      <protection locked="0"/>
    </xf>
    <xf numFmtId="0" fontId="0" fillId="5" borderId="21" xfId="0" applyFill="1" applyBorder="1"/>
    <xf numFmtId="164" fontId="0" fillId="5" borderId="21" xfId="0" applyNumberFormat="1" applyFill="1" applyBorder="1" applyAlignment="1">
      <alignment vertical="center"/>
    </xf>
    <xf numFmtId="0" fontId="4" fillId="4" borderId="5" xfId="0" applyFont="1" applyFill="1" applyBorder="1" applyAlignment="1">
      <alignment horizontal="left" vertical="center" wrapText="1"/>
    </xf>
    <xf numFmtId="0" fontId="15" fillId="0" borderId="13" xfId="0" applyFont="1" applyFill="1" applyBorder="1" applyAlignment="1">
      <alignment vertical="center" wrapText="1"/>
    </xf>
    <xf numFmtId="164" fontId="0" fillId="0" borderId="13" xfId="0" applyNumberFormat="1" applyBorder="1" applyAlignment="1">
      <alignment vertical="center"/>
    </xf>
    <xf numFmtId="0" fontId="0" fillId="4" borderId="0" xfId="0" applyFill="1" applyBorder="1" applyAlignment="1" applyProtection="1">
      <alignment vertical="center"/>
      <protection locked="0"/>
    </xf>
    <xf numFmtId="0" fontId="15" fillId="4" borderId="3" xfId="0" applyFont="1" applyFill="1" applyBorder="1" applyAlignment="1">
      <alignment vertical="center" wrapText="1"/>
    </xf>
    <xf numFmtId="164" fontId="0" fillId="4" borderId="3" xfId="0" applyNumberFormat="1" applyFill="1" applyBorder="1" applyAlignment="1">
      <alignment vertical="center"/>
    </xf>
    <xf numFmtId="0" fontId="26" fillId="4" borderId="5" xfId="0" applyFont="1" applyFill="1" applyBorder="1"/>
    <xf numFmtId="0" fontId="4" fillId="4" borderId="0" xfId="0" applyFont="1" applyFill="1" applyBorder="1" applyAlignment="1">
      <alignment horizontal="left" wrapText="1"/>
    </xf>
    <xf numFmtId="0" fontId="0" fillId="4" borderId="5" xfId="0" applyFill="1" applyBorder="1"/>
    <xf numFmtId="0" fontId="0" fillId="4" borderId="0" xfId="0" applyFill="1" applyBorder="1"/>
    <xf numFmtId="0" fontId="21" fillId="4" borderId="2" xfId="0" applyFont="1" applyFill="1" applyBorder="1"/>
    <xf numFmtId="0" fontId="0" fillId="4" borderId="3" xfId="0" applyFill="1" applyBorder="1" applyAlignment="1" applyProtection="1">
      <alignment vertical="center"/>
      <protection locked="0"/>
    </xf>
    <xf numFmtId="0" fontId="9" fillId="4" borderId="0" xfId="0" applyFont="1" applyFill="1" applyBorder="1" applyAlignment="1">
      <alignment horizontal="center" vertical="center"/>
    </xf>
    <xf numFmtId="0" fontId="9" fillId="4" borderId="0" xfId="0" applyFont="1" applyFill="1" applyBorder="1" applyAlignment="1">
      <alignment horizontal="center" vertical="center" wrapText="1"/>
    </xf>
    <xf numFmtId="0" fontId="0" fillId="0" borderId="0" xfId="0" applyFill="1" applyBorder="1" applyAlignment="1"/>
    <xf numFmtId="0" fontId="0" fillId="0" borderId="0" xfId="0" applyAlignment="1">
      <alignment horizontal="center"/>
    </xf>
    <xf numFmtId="0" fontId="19" fillId="4" borderId="0" xfId="0" applyFont="1" applyFill="1" applyProtection="1"/>
    <xf numFmtId="0" fontId="0" fillId="4" borderId="0" xfId="0" applyFill="1" applyProtection="1"/>
    <xf numFmtId="0" fontId="0" fillId="4" borderId="0" xfId="0" applyFill="1" applyAlignment="1" applyProtection="1">
      <alignment wrapText="1"/>
    </xf>
    <xf numFmtId="0" fontId="0" fillId="0" borderId="0" xfId="0" applyProtection="1"/>
    <xf numFmtId="167" fontId="19" fillId="4" borderId="0" xfId="0" applyNumberFormat="1" applyFont="1" applyFill="1" applyAlignment="1" applyProtection="1">
      <alignment horizontal="left"/>
    </xf>
    <xf numFmtId="0" fontId="0" fillId="4" borderId="0" xfId="0" applyFill="1" applyAlignment="1" applyProtection="1">
      <alignment horizontal="left" wrapText="1"/>
    </xf>
    <xf numFmtId="0" fontId="21" fillId="4" borderId="0" xfId="0" applyFont="1" applyFill="1" applyAlignment="1" applyProtection="1">
      <alignment wrapText="1"/>
    </xf>
    <xf numFmtId="0" fontId="19" fillId="4" borderId="0" xfId="0" applyFont="1" applyFill="1" applyAlignment="1" applyProtection="1">
      <alignment horizontal="left"/>
    </xf>
    <xf numFmtId="0" fontId="18" fillId="4" borderId="0" xfId="0" applyFont="1" applyFill="1" applyAlignment="1" applyProtection="1">
      <alignment wrapText="1"/>
    </xf>
    <xf numFmtId="0" fontId="28" fillId="4" borderId="0" xfId="0" applyFont="1" applyFill="1" applyProtection="1"/>
    <xf numFmtId="0" fontId="29" fillId="5" borderId="13" xfId="0" applyFont="1" applyFill="1" applyBorder="1" applyAlignment="1" applyProtection="1">
      <alignment horizontal="center" vertical="center" wrapText="1"/>
    </xf>
    <xf numFmtId="0" fontId="29" fillId="5" borderId="13" xfId="0" applyFont="1" applyFill="1" applyBorder="1" applyAlignment="1" applyProtection="1">
      <alignment horizontal="center" vertical="center"/>
    </xf>
    <xf numFmtId="169" fontId="0" fillId="0" borderId="0" xfId="4" applyNumberFormat="1" applyFont="1" applyFill="1" applyBorder="1" applyAlignment="1" applyProtection="1"/>
    <xf numFmtId="0" fontId="15" fillId="0" borderId="13" xfId="0" applyFont="1" applyBorder="1" applyAlignment="1" applyProtection="1">
      <alignment vertical="center" wrapText="1"/>
    </xf>
    <xf numFmtId="0" fontId="0" fillId="0" borderId="13" xfId="0" applyBorder="1" applyAlignment="1" applyProtection="1">
      <alignment vertical="center" wrapText="1"/>
    </xf>
    <xf numFmtId="0" fontId="4" fillId="0" borderId="13" xfId="0" applyFont="1" applyFill="1" applyBorder="1" applyAlignment="1" applyProtection="1">
      <alignment vertical="center" wrapText="1"/>
    </xf>
    <xf numFmtId="165" fontId="0" fillId="0" borderId="13" xfId="0" applyNumberFormat="1" applyFill="1" applyBorder="1" applyAlignment="1" applyProtection="1">
      <alignment vertical="center" wrapText="1"/>
    </xf>
    <xf numFmtId="0" fontId="0" fillId="0" borderId="13" xfId="0" applyFill="1" applyBorder="1" applyAlignment="1" applyProtection="1">
      <alignment vertical="center" wrapText="1"/>
    </xf>
    <xf numFmtId="0" fontId="0" fillId="0" borderId="13" xfId="0" applyBorder="1" applyAlignment="1" applyProtection="1">
      <alignment horizontal="left" vertical="center" wrapText="1"/>
    </xf>
    <xf numFmtId="0" fontId="0" fillId="0" borderId="13" xfId="0" applyBorder="1" applyAlignment="1" applyProtection="1">
      <alignment horizontal="center" vertical="center" wrapText="1"/>
    </xf>
    <xf numFmtId="0" fontId="15" fillId="0" borderId="13" xfId="0" applyFont="1" applyFill="1" applyBorder="1" applyAlignment="1" applyProtection="1">
      <alignment vertical="center" wrapText="1"/>
    </xf>
    <xf numFmtId="164" fontId="0" fillId="0" borderId="13" xfId="0" applyNumberFormat="1" applyFill="1" applyBorder="1" applyAlignment="1" applyProtection="1">
      <alignment vertical="center" wrapText="1"/>
    </xf>
    <xf numFmtId="0" fontId="0" fillId="0" borderId="13" xfId="0" applyFill="1" applyBorder="1" applyAlignment="1" applyProtection="1">
      <alignment horizontal="left" vertical="center" wrapText="1"/>
    </xf>
    <xf numFmtId="164" fontId="0" fillId="0" borderId="13" xfId="0" applyNumberFormat="1" applyFill="1" applyBorder="1" applyAlignment="1" applyProtection="1">
      <alignment horizontal="right" vertical="center" wrapText="1"/>
    </xf>
    <xf numFmtId="169" fontId="4" fillId="0" borderId="13" xfId="2" applyNumberFormat="1" applyFont="1" applyFill="1" applyBorder="1" applyAlignment="1" applyProtection="1">
      <alignment vertical="center" wrapText="1"/>
    </xf>
    <xf numFmtId="0" fontId="0" fillId="5" borderId="13" xfId="0" applyFill="1" applyBorder="1" applyAlignment="1" applyProtection="1">
      <alignment vertical="center" wrapText="1"/>
    </xf>
    <xf numFmtId="0" fontId="0" fillId="5" borderId="13" xfId="0" applyFill="1" applyBorder="1" applyAlignment="1" applyProtection="1">
      <alignment horizontal="center" vertical="center" wrapText="1"/>
    </xf>
    <xf numFmtId="0" fontId="0" fillId="5" borderId="13" xfId="0" applyFill="1" applyBorder="1" applyAlignment="1" applyProtection="1">
      <alignment vertical="center"/>
    </xf>
    <xf numFmtId="0" fontId="4" fillId="0" borderId="11" xfId="0" applyFont="1" applyBorder="1" applyAlignment="1" applyProtection="1">
      <alignment horizontal="right" vertical="center" wrapText="1"/>
    </xf>
    <xf numFmtId="169" fontId="4" fillId="4" borderId="13" xfId="2" applyNumberFormat="1" applyFont="1" applyFill="1" applyBorder="1" applyAlignment="1" applyProtection="1">
      <alignment vertical="center" wrapText="1"/>
    </xf>
    <xf numFmtId="0" fontId="4" fillId="0" borderId="13" xfId="0" applyFont="1" applyBorder="1" applyAlignment="1" applyProtection="1">
      <alignment horizontal="right" vertical="center" wrapText="1"/>
    </xf>
    <xf numFmtId="169" fontId="0" fillId="0" borderId="13" xfId="0" applyNumberFormat="1" applyFill="1" applyBorder="1" applyAlignment="1" applyProtection="1">
      <alignment vertical="center" wrapText="1"/>
    </xf>
    <xf numFmtId="0" fontId="15" fillId="0" borderId="11" xfId="0" applyFont="1" applyBorder="1" applyAlignment="1" applyProtection="1">
      <alignment vertical="center" wrapText="1"/>
    </xf>
    <xf numFmtId="0" fontId="0" fillId="0" borderId="15" xfId="0" applyFill="1" applyBorder="1" applyAlignment="1" applyProtection="1">
      <alignment horizontal="center" vertical="center" wrapText="1"/>
    </xf>
    <xf numFmtId="0" fontId="0" fillId="0" borderId="13" xfId="0" applyFill="1" applyBorder="1" applyAlignment="1" applyProtection="1">
      <alignment horizontal="center" vertical="center" wrapText="1"/>
    </xf>
    <xf numFmtId="171" fontId="0" fillId="0" borderId="13" xfId="0" applyNumberFormat="1" applyFill="1" applyBorder="1" applyAlignment="1" applyProtection="1">
      <alignment horizontal="right" vertical="center" wrapText="1"/>
    </xf>
    <xf numFmtId="175" fontId="0" fillId="0" borderId="0" xfId="0" applyNumberFormat="1" applyFill="1" applyBorder="1" applyAlignment="1" applyProtection="1">
      <alignment horizontal="left" vertical="center" wrapText="1"/>
    </xf>
    <xf numFmtId="0" fontId="0" fillId="0" borderId="13" xfId="0" applyFill="1" applyBorder="1" applyAlignment="1" applyProtection="1">
      <alignment vertical="center"/>
    </xf>
    <xf numFmtId="0" fontId="0" fillId="0" borderId="0" xfId="0" applyFill="1" applyProtection="1"/>
    <xf numFmtId="0" fontId="0" fillId="0" borderId="15" xfId="0" applyFill="1" applyBorder="1" applyAlignment="1" applyProtection="1">
      <alignment horizontal="left" vertical="center" wrapText="1"/>
    </xf>
    <xf numFmtId="0" fontId="0" fillId="5" borderId="13" xfId="0" applyFill="1" applyBorder="1" applyAlignment="1" applyProtection="1">
      <alignment horizontal="right" vertical="center" wrapText="1"/>
    </xf>
    <xf numFmtId="0" fontId="0" fillId="5" borderId="0" xfId="0" applyFill="1" applyAlignment="1" applyProtection="1">
      <alignment wrapText="1"/>
    </xf>
    <xf numFmtId="0" fontId="4" fillId="0" borderId="11" xfId="0" applyFont="1" applyFill="1" applyBorder="1" applyAlignment="1" applyProtection="1">
      <alignment horizontal="right" vertical="center" wrapText="1"/>
    </xf>
    <xf numFmtId="164" fontId="4" fillId="0" borderId="13" xfId="0" applyNumberFormat="1" applyFont="1" applyFill="1" applyBorder="1" applyAlignment="1" applyProtection="1">
      <alignment horizontal="right" vertical="center" wrapText="1"/>
    </xf>
    <xf numFmtId="168" fontId="0" fillId="0" borderId="13" xfId="0" applyNumberFormat="1" applyFill="1" applyBorder="1" applyAlignment="1" applyProtection="1">
      <alignment horizontal="right" vertical="center" wrapText="1"/>
    </xf>
    <xf numFmtId="165" fontId="0" fillId="0" borderId="13" xfId="0" applyNumberFormat="1" applyFill="1" applyBorder="1" applyAlignment="1" applyProtection="1">
      <alignment horizontal="right" vertical="center" wrapText="1"/>
    </xf>
    <xf numFmtId="168" fontId="0" fillId="0" borderId="13" xfId="0" applyNumberFormat="1" applyFill="1" applyBorder="1" applyAlignment="1" applyProtection="1">
      <alignment vertical="center" wrapText="1"/>
    </xf>
    <xf numFmtId="0" fontId="0" fillId="4" borderId="3" xfId="0" applyFill="1" applyBorder="1" applyAlignment="1" applyProtection="1">
      <alignment wrapText="1"/>
    </xf>
    <xf numFmtId="165" fontId="0" fillId="4" borderId="3" xfId="0" applyNumberFormat="1" applyFill="1" applyBorder="1" applyAlignment="1" applyProtection="1">
      <alignment vertical="center" wrapText="1"/>
    </xf>
    <xf numFmtId="0" fontId="4" fillId="4" borderId="3" xfId="0" applyFont="1" applyFill="1" applyBorder="1" applyAlignment="1" applyProtection="1">
      <alignment wrapText="1"/>
    </xf>
    <xf numFmtId="169" fontId="4" fillId="4" borderId="3" xfId="0" applyNumberFormat="1" applyFont="1" applyFill="1" applyBorder="1" applyAlignment="1" applyProtection="1">
      <alignment vertical="top" wrapText="1"/>
    </xf>
    <xf numFmtId="0" fontId="0" fillId="4" borderId="0" xfId="0" applyFill="1" applyBorder="1" applyAlignment="1" applyProtection="1">
      <alignment wrapText="1"/>
    </xf>
    <xf numFmtId="165" fontId="0" fillId="4" borderId="0" xfId="0" applyNumberFormat="1" applyFill="1" applyBorder="1" applyAlignment="1" applyProtection="1">
      <alignment vertical="center" wrapText="1"/>
    </xf>
    <xf numFmtId="0" fontId="4" fillId="4" borderId="0" xfId="0" applyFont="1" applyFill="1" applyBorder="1" applyAlignment="1" applyProtection="1">
      <alignment wrapText="1"/>
    </xf>
    <xf numFmtId="169" fontId="4" fillId="4" borderId="0" xfId="0" applyNumberFormat="1" applyFont="1" applyFill="1" applyBorder="1" applyAlignment="1" applyProtection="1">
      <alignment vertical="top" wrapText="1"/>
    </xf>
    <xf numFmtId="0" fontId="4" fillId="4" borderId="0" xfId="0" applyFont="1" applyFill="1" applyAlignment="1" applyProtection="1">
      <alignment horizontal="left" wrapText="1"/>
    </xf>
    <xf numFmtId="0" fontId="9" fillId="5" borderId="0" xfId="0" applyFont="1" applyFill="1" applyAlignment="1" applyProtection="1"/>
    <xf numFmtId="0" fontId="9" fillId="4" borderId="0" xfId="0" applyFont="1" applyFill="1" applyAlignment="1" applyProtection="1">
      <alignment horizontal="center"/>
    </xf>
    <xf numFmtId="0" fontId="25" fillId="4" borderId="0" xfId="0" applyFont="1" applyFill="1" applyProtection="1"/>
    <xf numFmtId="0" fontId="9" fillId="5" borderId="13" xfId="0" applyFont="1" applyFill="1" applyBorder="1" applyAlignment="1" applyProtection="1">
      <alignment horizontal="center" vertical="center" wrapText="1"/>
    </xf>
    <xf numFmtId="0" fontId="9" fillId="5" borderId="15" xfId="0" applyFont="1" applyFill="1" applyBorder="1" applyAlignment="1" applyProtection="1">
      <alignment horizontal="center" vertical="center" wrapText="1"/>
    </xf>
    <xf numFmtId="0" fontId="9" fillId="4" borderId="5" xfId="0" applyFont="1" applyFill="1" applyBorder="1" applyAlignment="1" applyProtection="1">
      <alignment horizontal="center" vertical="center" wrapText="1"/>
    </xf>
    <xf numFmtId="0" fontId="9" fillId="4" borderId="0" xfId="0" applyFont="1" applyFill="1" applyBorder="1" applyAlignment="1" applyProtection="1">
      <alignment horizontal="center" vertical="center" wrapText="1"/>
    </xf>
    <xf numFmtId="0" fontId="0" fillId="4" borderId="0" xfId="0" applyFill="1" applyBorder="1" applyAlignment="1" applyProtection="1">
      <alignment vertical="center"/>
    </xf>
    <xf numFmtId="0" fontId="0" fillId="4" borderId="0" xfId="0" applyFill="1" applyBorder="1" applyAlignment="1" applyProtection="1">
      <alignment horizontal="center" vertical="center"/>
    </xf>
    <xf numFmtId="0" fontId="34" fillId="4" borderId="0" xfId="5" applyFont="1" applyFill="1" applyBorder="1" applyAlignment="1" applyProtection="1">
      <alignment horizontal="center" vertical="center"/>
    </xf>
    <xf numFmtId="0" fontId="4" fillId="4" borderId="0" xfId="0" applyFont="1" applyFill="1" applyBorder="1" applyAlignment="1" applyProtection="1">
      <alignment vertical="center" wrapText="1"/>
    </xf>
    <xf numFmtId="0" fontId="0" fillId="0" borderId="15" xfId="0" applyBorder="1" applyAlignment="1" applyProtection="1">
      <alignment horizontal="center" vertical="center"/>
    </xf>
    <xf numFmtId="0" fontId="34" fillId="4" borderId="5" xfId="5" applyFont="1" applyFill="1" applyBorder="1" applyAlignment="1" applyProtection="1">
      <alignment horizontal="center" vertical="center"/>
    </xf>
    <xf numFmtId="0" fontId="0" fillId="4" borderId="0" xfId="0" applyFill="1" applyBorder="1" applyAlignment="1" applyProtection="1">
      <alignment vertical="center" wrapText="1"/>
    </xf>
    <xf numFmtId="0" fontId="0" fillId="4" borderId="0" xfId="0" applyFill="1" applyBorder="1" applyAlignment="1" applyProtection="1">
      <alignment horizontal="center" vertical="center" wrapText="1"/>
    </xf>
    <xf numFmtId="0" fontId="15" fillId="0" borderId="13" xfId="0" applyFont="1" applyBorder="1" applyAlignment="1" applyProtection="1">
      <alignment horizontal="right"/>
    </xf>
    <xf numFmtId="0" fontId="15" fillId="0" borderId="15" xfId="0" applyFont="1" applyBorder="1" applyAlignment="1" applyProtection="1">
      <alignment horizontal="center"/>
    </xf>
    <xf numFmtId="172" fontId="15" fillId="4" borderId="0" xfId="0" applyNumberFormat="1" applyFont="1" applyFill="1" applyBorder="1" applyAlignment="1" applyProtection="1">
      <alignment horizontal="center"/>
    </xf>
    <xf numFmtId="0" fontId="15" fillId="0" borderId="13" xfId="0" applyFont="1" applyFill="1" applyBorder="1" applyAlignment="1" applyProtection="1">
      <alignment horizontal="right" vertical="center" wrapText="1"/>
    </xf>
    <xf numFmtId="0" fontId="15" fillId="0" borderId="15" xfId="0" applyFont="1" applyBorder="1" applyAlignment="1" applyProtection="1">
      <alignment horizontal="center" vertical="center" wrapText="1"/>
    </xf>
    <xf numFmtId="172" fontId="15" fillId="4" borderId="0" xfId="0" applyNumberFormat="1" applyFont="1" applyFill="1" applyBorder="1" applyAlignment="1" applyProtection="1">
      <alignment horizontal="center" vertical="center" wrapText="1"/>
    </xf>
    <xf numFmtId="0" fontId="4" fillId="4" borderId="5" xfId="0" applyFont="1" applyFill="1" applyBorder="1" applyAlignment="1" applyProtection="1">
      <alignment vertical="center" wrapText="1"/>
    </xf>
    <xf numFmtId="0" fontId="15" fillId="4" borderId="0" xfId="0" applyFont="1" applyFill="1" applyBorder="1" applyAlignment="1" applyProtection="1">
      <alignment vertical="center" wrapText="1"/>
    </xf>
    <xf numFmtId="0" fontId="0" fillId="4" borderId="0" xfId="0" applyFill="1" applyBorder="1" applyProtection="1"/>
    <xf numFmtId="0" fontId="35" fillId="4" borderId="15" xfId="0" applyFont="1" applyFill="1" applyBorder="1" applyAlignment="1" applyProtection="1">
      <alignment horizontal="left"/>
    </xf>
    <xf numFmtId="0" fontId="35" fillId="4" borderId="16" xfId="0" applyFont="1" applyFill="1" applyBorder="1" applyAlignment="1" applyProtection="1">
      <alignment horizontal="left"/>
    </xf>
    <xf numFmtId="0" fontId="35" fillId="4" borderId="10" xfId="0" applyFont="1" applyFill="1" applyBorder="1" applyAlignment="1" applyProtection="1">
      <alignment horizontal="left"/>
    </xf>
    <xf numFmtId="0" fontId="9" fillId="5" borderId="13" xfId="0" applyFont="1" applyFill="1" applyBorder="1" applyAlignment="1" applyProtection="1">
      <alignment horizontal="center"/>
    </xf>
    <xf numFmtId="173" fontId="0" fillId="4" borderId="0" xfId="0" applyNumberFormat="1" applyFill="1" applyProtection="1"/>
    <xf numFmtId="0" fontId="0" fillId="0" borderId="13" xfId="0" applyBorder="1" applyAlignment="1" applyProtection="1">
      <alignment horizontal="center"/>
    </xf>
    <xf numFmtId="170" fontId="0" fillId="0" borderId="13" xfId="0" applyNumberFormat="1" applyBorder="1" applyAlignment="1" applyProtection="1">
      <alignment horizontal="center"/>
    </xf>
    <xf numFmtId="174" fontId="0" fillId="4" borderId="0" xfId="0" applyNumberFormat="1" applyFill="1" applyProtection="1"/>
    <xf numFmtId="168" fontId="0" fillId="0" borderId="13" xfId="0" applyNumberFormat="1" applyBorder="1" applyAlignment="1" applyProtection="1">
      <alignment horizontal="center"/>
    </xf>
    <xf numFmtId="0" fontId="0" fillId="4" borderId="0" xfId="0" applyFill="1" applyAlignment="1" applyProtection="1">
      <alignment horizontal="center"/>
    </xf>
    <xf numFmtId="168" fontId="0" fillId="4" borderId="0" xfId="0" applyNumberFormat="1" applyFill="1" applyAlignment="1" applyProtection="1">
      <alignment horizontal="center"/>
    </xf>
    <xf numFmtId="0" fontId="0" fillId="0" borderId="0" xfId="0" applyAlignment="1" applyProtection="1">
      <alignment wrapText="1"/>
    </xf>
    <xf numFmtId="169" fontId="4" fillId="0" borderId="0" xfId="0" applyNumberFormat="1" applyFont="1" applyFill="1" applyBorder="1" applyAlignment="1">
      <alignment wrapText="1"/>
    </xf>
    <xf numFmtId="0" fontId="0" fillId="0" borderId="0" xfId="0" applyFill="1" applyBorder="1" applyAlignment="1">
      <alignment wrapText="1"/>
    </xf>
    <xf numFmtId="0" fontId="4" fillId="0" borderId="0" xfId="0" applyFont="1" applyFill="1" applyBorder="1" applyAlignment="1">
      <alignment vertical="center" wrapText="1"/>
    </xf>
    <xf numFmtId="0" fontId="15" fillId="0" borderId="1" xfId="0" applyFont="1" applyFill="1" applyBorder="1" applyAlignment="1"/>
    <xf numFmtId="169" fontId="2" fillId="0" borderId="0" xfId="3" applyNumberFormat="1" applyFill="1" applyBorder="1" applyAlignment="1" applyProtection="1">
      <alignment wrapText="1"/>
    </xf>
    <xf numFmtId="0" fontId="15" fillId="0" borderId="21" xfId="0" applyFont="1" applyFill="1" applyBorder="1" applyAlignment="1">
      <alignment horizontal="left" vertical="top" wrapText="1"/>
    </xf>
    <xf numFmtId="164" fontId="4" fillId="0" borderId="18" xfId="0" applyNumberFormat="1" applyFont="1" applyFill="1" applyBorder="1" applyAlignment="1">
      <alignment horizontal="right" vertical="center" wrapText="1"/>
    </xf>
    <xf numFmtId="164" fontId="4" fillId="8" borderId="22" xfId="0" applyNumberFormat="1" applyFont="1" applyFill="1" applyBorder="1" applyAlignment="1">
      <alignment horizontal="right" vertical="center"/>
    </xf>
    <xf numFmtId="0" fontId="4" fillId="4" borderId="23" xfId="0" applyFont="1" applyFill="1" applyBorder="1" applyAlignment="1">
      <alignment horizontal="left" wrapText="1"/>
    </xf>
    <xf numFmtId="0" fontId="0" fillId="4" borderId="23" xfId="0" applyFill="1" applyBorder="1" applyAlignment="1">
      <alignment horizontal="left" wrapText="1"/>
    </xf>
    <xf numFmtId="164" fontId="4" fillId="0" borderId="13" xfId="0" applyNumberFormat="1" applyFont="1" applyFill="1" applyBorder="1" applyAlignment="1">
      <alignment horizontal="left" vertical="center" wrapText="1"/>
    </xf>
    <xf numFmtId="164" fontId="4" fillId="0" borderId="14" xfId="0" applyNumberFormat="1" applyFont="1" applyFill="1" applyBorder="1" applyAlignment="1">
      <alignment horizontal="right" vertical="center" wrapText="1"/>
    </xf>
    <xf numFmtId="164" fontId="4" fillId="0" borderId="13" xfId="0" applyNumberFormat="1" applyFont="1" applyFill="1" applyBorder="1" applyAlignment="1">
      <alignment horizontal="right" vertical="center" wrapText="1"/>
    </xf>
    <xf numFmtId="164" fontId="0" fillId="0" borderId="14" xfId="0" applyNumberFormat="1" applyFill="1" applyBorder="1" applyAlignment="1">
      <alignment horizontal="right" vertical="center"/>
    </xf>
    <xf numFmtId="164" fontId="0" fillId="0" borderId="20" xfId="0" applyNumberFormat="1" applyFill="1" applyBorder="1" applyAlignment="1">
      <alignment horizontal="right" vertical="center"/>
    </xf>
    <xf numFmtId="164" fontId="4" fillId="0" borderId="13" xfId="0" applyNumberFormat="1" applyFont="1" applyFill="1" applyBorder="1" applyAlignment="1">
      <alignment vertical="center" wrapText="1"/>
    </xf>
    <xf numFmtId="164" fontId="0" fillId="0" borderId="14" xfId="0" applyNumberFormat="1" applyFill="1" applyBorder="1" applyAlignment="1">
      <alignment vertical="center"/>
    </xf>
    <xf numFmtId="0" fontId="0" fillId="6" borderId="13" xfId="0" applyFill="1" applyBorder="1"/>
    <xf numFmtId="164" fontId="0" fillId="0" borderId="13" xfId="0" applyNumberFormat="1" applyFill="1" applyBorder="1" applyAlignment="1">
      <alignment horizontal="center" vertical="center" wrapText="1"/>
    </xf>
    <xf numFmtId="0" fontId="21" fillId="4" borderId="11" xfId="0" applyFont="1" applyFill="1" applyBorder="1" applyAlignment="1">
      <alignment horizontal="left" wrapText="1"/>
    </xf>
    <xf numFmtId="0" fontId="25" fillId="0" borderId="12" xfId="0" applyFont="1" applyFill="1" applyBorder="1" applyAlignment="1">
      <alignment horizontal="center" wrapText="1"/>
    </xf>
    <xf numFmtId="164" fontId="4" fillId="0" borderId="19" xfId="0" applyNumberFormat="1" applyFont="1" applyFill="1" applyBorder="1" applyAlignment="1">
      <alignment horizontal="right" vertical="center" wrapText="1"/>
    </xf>
    <xf numFmtId="164" fontId="25" fillId="0" borderId="12" xfId="0" applyNumberFormat="1" applyFont="1" applyFill="1" applyBorder="1" applyAlignment="1">
      <alignment horizontal="center" vertical="center" wrapText="1"/>
    </xf>
    <xf numFmtId="0" fontId="0" fillId="4" borderId="0" xfId="0" applyFill="1" applyBorder="1" applyAlignment="1" applyProtection="1">
      <alignment horizontal="left" wrapText="1"/>
    </xf>
    <xf numFmtId="0" fontId="4" fillId="0" borderId="13" xfId="0" applyFont="1" applyFill="1" applyBorder="1" applyAlignment="1" applyProtection="1">
      <alignment horizontal="left" vertical="center" wrapText="1"/>
    </xf>
    <xf numFmtId="0" fontId="4" fillId="4" borderId="13" xfId="0" applyFont="1" applyFill="1" applyBorder="1" applyAlignment="1" applyProtection="1">
      <alignment horizontal="left"/>
    </xf>
    <xf numFmtId="0" fontId="15" fillId="0" borderId="0" xfId="0" applyFont="1" applyFill="1" applyBorder="1" applyAlignment="1" applyProtection="1">
      <alignment horizontal="left" vertical="top" wrapText="1"/>
    </xf>
    <xf numFmtId="0" fontId="15" fillId="0" borderId="13" xfId="0" applyFont="1" applyFill="1" applyBorder="1" applyAlignment="1" applyProtection="1">
      <alignment horizontal="left" wrapText="1"/>
    </xf>
    <xf numFmtId="0" fontId="15" fillId="0" borderId="13" xfId="0" applyFont="1" applyFill="1" applyBorder="1" applyAlignment="1" applyProtection="1">
      <alignment horizontal="left" vertical="center" wrapText="1"/>
    </xf>
    <xf numFmtId="169" fontId="31" fillId="0" borderId="13" xfId="0" applyNumberFormat="1" applyFont="1" applyFill="1" applyBorder="1" applyAlignment="1" applyProtection="1">
      <alignment horizontal="center" vertical="center" wrapText="1"/>
    </xf>
    <xf numFmtId="0" fontId="4" fillId="0" borderId="13" xfId="0" applyFont="1" applyFill="1" applyBorder="1" applyAlignment="1" applyProtection="1">
      <alignment horizontal="right" vertical="center" wrapText="1"/>
    </xf>
    <xf numFmtId="0" fontId="33" fillId="0" borderId="13" xfId="0" applyFont="1" applyFill="1" applyBorder="1" applyAlignment="1" applyProtection="1">
      <alignment horizontal="left" wrapText="1"/>
    </xf>
    <xf numFmtId="0" fontId="15" fillId="0" borderId="13" xfId="0" applyFont="1" applyFill="1" applyBorder="1" applyAlignment="1" applyProtection="1">
      <alignment horizontal="left"/>
    </xf>
    <xf numFmtId="164" fontId="15" fillId="0" borderId="13" xfId="0" applyNumberFormat="1" applyFont="1" applyFill="1" applyBorder="1" applyAlignment="1" applyProtection="1">
      <alignment horizontal="left" vertical="center" wrapText="1"/>
    </xf>
  </cellXfs>
  <cellStyles count="13">
    <cellStyle name="Comma 2" xfId="1" xr:uid="{00000000-0005-0000-0000-000000000000}"/>
    <cellStyle name="Excel Built-in Comma" xfId="2" xr:uid="{00000000-0005-0000-0000-000001000000}"/>
    <cellStyle name="Excel Built-in Hyperlink" xfId="3" xr:uid="{00000000-0005-0000-0000-000002000000}"/>
    <cellStyle name="Excel Built-in Neutral" xfId="4" xr:uid="{00000000-0005-0000-0000-000003000000}"/>
    <cellStyle name="Excel Built-in Percent" xfId="5" xr:uid="{00000000-0005-0000-0000-000004000000}"/>
    <cellStyle name="Heading" xfId="6" xr:uid="{00000000-0005-0000-0000-000005000000}"/>
    <cellStyle name="Heading1" xfId="7" xr:uid="{00000000-0005-0000-0000-000006000000}"/>
    <cellStyle name="Normal" xfId="0" builtinId="0" customBuiltin="1"/>
    <cellStyle name="Normal 2" xfId="8" xr:uid="{00000000-0005-0000-0000-000008000000}"/>
    <cellStyle name="Normal 3" xfId="9" xr:uid="{00000000-0005-0000-0000-000009000000}"/>
    <cellStyle name="Percent 2" xfId="10" xr:uid="{00000000-0005-0000-0000-00000A000000}"/>
    <cellStyle name="Result" xfId="11" xr:uid="{00000000-0005-0000-0000-00000B000000}"/>
    <cellStyle name="Result2" xfId="12" xr:uid="{00000000-0005-0000-0000-00000C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 Id="rId30"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198333</xdr:colOff>
      <xdr:row>2</xdr:row>
      <xdr:rowOff>29169</xdr:rowOff>
    </xdr:from>
    <xdr:ext cx="7352598" cy="4427616"/>
    <xdr:pic>
      <xdr:nvPicPr>
        <xdr:cNvPr id="2" name="Picture 1">
          <a:extLst>
            <a:ext uri="{FF2B5EF4-FFF2-40B4-BE49-F238E27FC236}">
              <a16:creationId xmlns:a16="http://schemas.microsoft.com/office/drawing/2014/main" id="{3FF2C208-7F2B-4916-9891-23BC65FB2011}"/>
            </a:ext>
          </a:extLst>
        </xdr:cNvPr>
        <xdr:cNvPicPr>
          <a:picLocks noChangeAspect="1"/>
        </xdr:cNvPicPr>
      </xdr:nvPicPr>
      <xdr:blipFill>
        <a:blip xmlns:r="http://schemas.openxmlformats.org/officeDocument/2006/relationships" r:embed="rId1">
          <a:lum/>
          <a:alphaModFix/>
        </a:blip>
        <a:srcRect/>
        <a:stretch>
          <a:fillRect/>
        </a:stretch>
      </xdr:blipFill>
      <xdr:spPr>
        <a:xfrm>
          <a:off x="198333" y="391119"/>
          <a:ext cx="7352598" cy="4427616"/>
        </a:xfrm>
        <a:prstGeom prst="rect">
          <a:avLst/>
        </a:prstGeom>
        <a:noFill/>
        <a:ln>
          <a:noFill/>
        </a:ln>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infoctr@eia.gov" TargetMode="External"/><Relationship Id="rId2" Type="http://schemas.openxmlformats.org/officeDocument/2006/relationships/hyperlink" Target="http://www.eia.gov/" TargetMode="External"/><Relationship Id="rId1" Type="http://schemas.openxmlformats.org/officeDocument/2006/relationships/hyperlink" Target="http://www.eia.gov/dnav/ng/ng_cons_sum_dcu_smd_a.htm" TargetMode="External"/></Relationships>
</file>

<file path=xl/worksheets/_rels/sheet10.xml.rels><?xml version="1.0" encoding="UTF-8" standalone="yes"?>
<Relationships xmlns="http://schemas.openxmlformats.org/package/2006/relationships"><Relationship Id="rId8" Type="http://schemas.openxmlformats.org/officeDocument/2006/relationships/comments" Target="../comments8.xml"/><Relationship Id="rId3" Type="http://schemas.openxmlformats.org/officeDocument/2006/relationships/hyperlink" Target="https://www.extension.iastate.edu/agdm/wholefarm/html/c6-89.html" TargetMode="External"/><Relationship Id="rId7" Type="http://schemas.openxmlformats.org/officeDocument/2006/relationships/vmlDrawing" Target="../drawings/vmlDrawing8.vml"/><Relationship Id="rId2" Type="http://schemas.openxmlformats.org/officeDocument/2006/relationships/hyperlink" Target="https://archive.ipcc.ch/pdf/assessment-report/ar5/syr/SYR_AR5_FINAL_full_wcover.pdf" TargetMode="External"/><Relationship Id="rId1" Type="http://schemas.openxmlformats.org/officeDocument/2006/relationships/hyperlink" Target="https://www.edf.org/energy/methaneleakage" TargetMode="External"/><Relationship Id="rId6" Type="http://schemas.openxmlformats.org/officeDocument/2006/relationships/hyperlink" Target="https://www.epa.gov/natural-gas-star-program/overview-oil-and-natural-gas-industry" TargetMode="External"/><Relationship Id="rId5" Type="http://schemas.openxmlformats.org/officeDocument/2006/relationships/hyperlink" Target="https://insideclimatenews.org/news/16022018/methane-leaks-oil-natural-gas-data-global-warming-pennsylvania-edf-study" TargetMode="External"/><Relationship Id="rId4" Type="http://schemas.openxmlformats.org/officeDocument/2006/relationships/hyperlink" Target="https://www.epa.gov/natural-gas-star-program/overview-oil-and-natural-gas-industry" TargetMode="External"/></Relationships>
</file>

<file path=xl/worksheets/_rels/sheet16.xml.rels><?xml version="1.0" encoding="UTF-8" standalone="yes"?>
<Relationships xmlns="http://schemas.openxmlformats.org/package/2006/relationships"><Relationship Id="rId2" Type="http://schemas.openxmlformats.org/officeDocument/2006/relationships/comments" Target="../comments9.xml"/><Relationship Id="rId1" Type="http://schemas.openxmlformats.org/officeDocument/2006/relationships/vmlDrawing" Target="../drawings/vmlDrawing9.vml"/></Relationships>
</file>

<file path=xl/worksheets/_rels/sheet22.xml.rels><?xml version="1.0" encoding="UTF-8" standalone="yes"?>
<Relationships xmlns="http://schemas.openxmlformats.org/package/2006/relationships"><Relationship Id="rId2" Type="http://schemas.openxmlformats.org/officeDocument/2006/relationships/comments" Target="../comments10.xml"/><Relationship Id="rId1" Type="http://schemas.openxmlformats.org/officeDocument/2006/relationships/vmlDrawing" Target="../drawings/vmlDrawing10.vml"/></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hyperlink" Target="https://www.epa.gov/natural-gas-star-program/overview-oil-and-natural-gas-industry" TargetMode="External"/><Relationship Id="rId7" Type="http://schemas.openxmlformats.org/officeDocument/2006/relationships/vmlDrawing" Target="../drawings/vmlDrawing1.vml"/><Relationship Id="rId2" Type="http://schemas.openxmlformats.org/officeDocument/2006/relationships/hyperlink" Target="https://www.extension.iastate.edu/agdm/wholefarm/html/c6-89.html" TargetMode="External"/><Relationship Id="rId1" Type="http://schemas.openxmlformats.org/officeDocument/2006/relationships/hyperlink" Target="https://www.edf.org/energy/methaneleakage" TargetMode="External"/><Relationship Id="rId6" Type="http://schemas.openxmlformats.org/officeDocument/2006/relationships/printerSettings" Target="../printerSettings/printerSettings1.bin"/><Relationship Id="rId5" Type="http://schemas.openxmlformats.org/officeDocument/2006/relationships/hyperlink" Target="https://www.epa.gov/natural-gas-star-program/overview-oil-and-natural-gas-industry" TargetMode="External"/><Relationship Id="rId4" Type="http://schemas.openxmlformats.org/officeDocument/2006/relationships/hyperlink" Target="https://insideclimatenews.org/news/16022018/methane-leaks-oil-natural-gas-data-global-warming-pennsylvania-edf-study" TargetMode="External"/></Relationships>
</file>

<file path=xl/worksheets/_rels/sheet4.xml.rels><?xml version="1.0" encoding="UTF-8" standalone="yes"?>
<Relationships xmlns="http://schemas.openxmlformats.org/package/2006/relationships"><Relationship Id="rId8" Type="http://schemas.openxmlformats.org/officeDocument/2006/relationships/comments" Target="../comments2.xml"/><Relationship Id="rId3" Type="http://schemas.openxmlformats.org/officeDocument/2006/relationships/hyperlink" Target="https://www.extension.iastate.edu/agdm/wholefarm/html/c6-89.html" TargetMode="External"/><Relationship Id="rId7" Type="http://schemas.openxmlformats.org/officeDocument/2006/relationships/vmlDrawing" Target="../drawings/vmlDrawing2.vml"/><Relationship Id="rId2" Type="http://schemas.openxmlformats.org/officeDocument/2006/relationships/hyperlink" Target="https://archive.ipcc.ch/pdf/assessment-report/ar5/syr/SYR_AR5_FINAL_full_wcover.pdf" TargetMode="External"/><Relationship Id="rId1" Type="http://schemas.openxmlformats.org/officeDocument/2006/relationships/hyperlink" Target="https://www.edf.org/energy/methaneleakage" TargetMode="External"/><Relationship Id="rId6" Type="http://schemas.openxmlformats.org/officeDocument/2006/relationships/hyperlink" Target="https://www.epa.gov/natural-gas-star-program/overview-oil-and-natural-gas-industry" TargetMode="External"/><Relationship Id="rId5" Type="http://schemas.openxmlformats.org/officeDocument/2006/relationships/hyperlink" Target="https://insideclimatenews.org/news/16022018/methane-leaks-oil-natural-gas-data-global-warming-pennsylvania-edf-study" TargetMode="External"/><Relationship Id="rId4" Type="http://schemas.openxmlformats.org/officeDocument/2006/relationships/hyperlink" Target="https://www.epa.gov/natural-gas-star-program/overview-oil-and-natural-gas-industry" TargetMode="External"/></Relationships>
</file>

<file path=xl/worksheets/_rels/sheet5.xml.rels><?xml version="1.0" encoding="UTF-8" standalone="yes"?>
<Relationships xmlns="http://schemas.openxmlformats.org/package/2006/relationships"><Relationship Id="rId3" Type="http://schemas.openxmlformats.org/officeDocument/2006/relationships/hyperlink" Target="https://www.epa.gov/natural-gas-star-program/overview-oil-and-natural-gas-industry" TargetMode="External"/><Relationship Id="rId7" Type="http://schemas.openxmlformats.org/officeDocument/2006/relationships/comments" Target="../comments3.xml"/><Relationship Id="rId2" Type="http://schemas.openxmlformats.org/officeDocument/2006/relationships/hyperlink" Target="https://www.extension.iastate.edu/agdm/wholefarm/html/c6-89.html" TargetMode="External"/><Relationship Id="rId1" Type="http://schemas.openxmlformats.org/officeDocument/2006/relationships/hyperlink" Target="https://www.edf.org/energy/methaneleakage" TargetMode="External"/><Relationship Id="rId6" Type="http://schemas.openxmlformats.org/officeDocument/2006/relationships/vmlDrawing" Target="../drawings/vmlDrawing3.vml"/><Relationship Id="rId5" Type="http://schemas.openxmlformats.org/officeDocument/2006/relationships/hyperlink" Target="https://www.epa.gov/natural-gas-star-program/overview-oil-and-natural-gas-industry" TargetMode="External"/><Relationship Id="rId4" Type="http://schemas.openxmlformats.org/officeDocument/2006/relationships/hyperlink" Target="https://insideclimatenews.org/news/16022018/methane-leaks-oil-natural-gas-data-global-warming-pennsylvania-edf-study" TargetMode="External"/></Relationships>
</file>

<file path=xl/worksheets/_rels/sheet6.xml.rels><?xml version="1.0" encoding="UTF-8" standalone="yes"?>
<Relationships xmlns="http://schemas.openxmlformats.org/package/2006/relationships"><Relationship Id="rId8" Type="http://schemas.openxmlformats.org/officeDocument/2006/relationships/comments" Target="../comments4.xml"/><Relationship Id="rId3" Type="http://schemas.openxmlformats.org/officeDocument/2006/relationships/hyperlink" Target="https://www.extension.iastate.edu/agdm/wholefarm/html/c6-89.html" TargetMode="External"/><Relationship Id="rId7" Type="http://schemas.openxmlformats.org/officeDocument/2006/relationships/vmlDrawing" Target="../drawings/vmlDrawing4.vml"/><Relationship Id="rId2" Type="http://schemas.openxmlformats.org/officeDocument/2006/relationships/hyperlink" Target="https://archive.ipcc.ch/pdf/assessment-report/ar5/syr/SYR_AR5_FINAL_full_wcover.pdf" TargetMode="External"/><Relationship Id="rId1" Type="http://schemas.openxmlformats.org/officeDocument/2006/relationships/hyperlink" Target="https://www.edf.org/energy/methaneleakage" TargetMode="External"/><Relationship Id="rId6" Type="http://schemas.openxmlformats.org/officeDocument/2006/relationships/hyperlink" Target="https://www.epa.gov/natural-gas-star-program/overview-oil-and-natural-gas-industry" TargetMode="External"/><Relationship Id="rId5" Type="http://schemas.openxmlformats.org/officeDocument/2006/relationships/hyperlink" Target="https://insideclimatenews.org/news/16022018/methane-leaks-oil-natural-gas-data-global-warming-pennsylvania-edf-study" TargetMode="External"/><Relationship Id="rId4" Type="http://schemas.openxmlformats.org/officeDocument/2006/relationships/hyperlink" Target="https://www.epa.gov/natural-gas-star-program/overview-oil-and-natural-gas-industry"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https://www.epa.gov/natural-gas-star-program/overview-oil-and-natural-gas-industry" TargetMode="External"/><Relationship Id="rId7" Type="http://schemas.openxmlformats.org/officeDocument/2006/relationships/comments" Target="../comments5.xml"/><Relationship Id="rId2" Type="http://schemas.openxmlformats.org/officeDocument/2006/relationships/hyperlink" Target="https://www.extension.iastate.edu/agdm/wholefarm/html/c6-89.html" TargetMode="External"/><Relationship Id="rId1" Type="http://schemas.openxmlformats.org/officeDocument/2006/relationships/hyperlink" Target="https://www.edf.org/energy/methaneleakage" TargetMode="External"/><Relationship Id="rId6" Type="http://schemas.openxmlformats.org/officeDocument/2006/relationships/vmlDrawing" Target="../drawings/vmlDrawing5.vml"/><Relationship Id="rId5" Type="http://schemas.openxmlformats.org/officeDocument/2006/relationships/hyperlink" Target="https://www.epa.gov/natural-gas-star-program/overview-oil-and-natural-gas-industry" TargetMode="External"/><Relationship Id="rId4" Type="http://schemas.openxmlformats.org/officeDocument/2006/relationships/hyperlink" Target="https://insideclimatenews.org/news/16022018/methane-leaks-oil-natural-gas-data-global-warming-pennsylvania-edf-study" TargetMode="External"/></Relationships>
</file>

<file path=xl/worksheets/_rels/sheet8.xml.rels><?xml version="1.0" encoding="UTF-8" standalone="yes"?>
<Relationships xmlns="http://schemas.openxmlformats.org/package/2006/relationships"><Relationship Id="rId8" Type="http://schemas.openxmlformats.org/officeDocument/2006/relationships/comments" Target="../comments6.xml"/><Relationship Id="rId3" Type="http://schemas.openxmlformats.org/officeDocument/2006/relationships/hyperlink" Target="https://www.extension.iastate.edu/agdm/wholefarm/html/c6-89.html" TargetMode="External"/><Relationship Id="rId7" Type="http://schemas.openxmlformats.org/officeDocument/2006/relationships/vmlDrawing" Target="../drawings/vmlDrawing6.vml"/><Relationship Id="rId2" Type="http://schemas.openxmlformats.org/officeDocument/2006/relationships/hyperlink" Target="https://archive.ipcc.ch/pdf/assessment-report/ar5/syr/SYR_AR5_FINAL_full_wcover.pdf" TargetMode="External"/><Relationship Id="rId1" Type="http://schemas.openxmlformats.org/officeDocument/2006/relationships/hyperlink" Target="https://www.edf.org/energy/methaneleakage" TargetMode="External"/><Relationship Id="rId6" Type="http://schemas.openxmlformats.org/officeDocument/2006/relationships/hyperlink" Target="https://www.epa.gov/natural-gas-star-program/overview-oil-and-natural-gas-industry" TargetMode="External"/><Relationship Id="rId5" Type="http://schemas.openxmlformats.org/officeDocument/2006/relationships/hyperlink" Target="https://insideclimatenews.org/news/16022018/methane-leaks-oil-natural-gas-data-global-warming-pennsylvania-edf-study" TargetMode="External"/><Relationship Id="rId4" Type="http://schemas.openxmlformats.org/officeDocument/2006/relationships/hyperlink" Target="https://www.epa.gov/natural-gas-star-program/overview-oil-and-natural-gas-industry" TargetMode="External"/></Relationships>
</file>

<file path=xl/worksheets/_rels/sheet9.xml.rels><?xml version="1.0" encoding="UTF-8" standalone="yes"?>
<Relationships xmlns="http://schemas.openxmlformats.org/package/2006/relationships"><Relationship Id="rId3" Type="http://schemas.openxmlformats.org/officeDocument/2006/relationships/hyperlink" Target="https://www.epa.gov/natural-gas-star-program/overview-oil-and-natural-gas-industry" TargetMode="External"/><Relationship Id="rId7" Type="http://schemas.openxmlformats.org/officeDocument/2006/relationships/comments" Target="../comments7.xml"/><Relationship Id="rId2" Type="http://schemas.openxmlformats.org/officeDocument/2006/relationships/hyperlink" Target="https://www.extension.iastate.edu/agdm/wholefarm/html/c6-89.html" TargetMode="External"/><Relationship Id="rId1" Type="http://schemas.openxmlformats.org/officeDocument/2006/relationships/hyperlink" Target="https://www.edf.org/energy/methaneleakage" TargetMode="External"/><Relationship Id="rId6" Type="http://schemas.openxmlformats.org/officeDocument/2006/relationships/vmlDrawing" Target="../drawings/vmlDrawing7.vml"/><Relationship Id="rId5" Type="http://schemas.openxmlformats.org/officeDocument/2006/relationships/hyperlink" Target="https://www.epa.gov/natural-gas-star-program/overview-oil-and-natural-gas-industry" TargetMode="External"/><Relationship Id="rId4" Type="http://schemas.openxmlformats.org/officeDocument/2006/relationships/hyperlink" Target="https://insideclimatenews.org/news/16022018/methane-leaks-oil-natural-gas-data-global-warming-pennsylvania-edf-study"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G16"/>
  <sheetViews>
    <sheetView workbookViewId="0"/>
  </sheetViews>
  <sheetFormatPr defaultRowHeight="14.25"/>
  <cols>
    <col min="1" max="1" width="4.375" customWidth="1"/>
    <col min="2" max="2" width="24.625" customWidth="1"/>
    <col min="3" max="3" width="52.875" customWidth="1"/>
    <col min="4" max="4" width="10.625" customWidth="1"/>
    <col min="5" max="5" width="12.25" customWidth="1"/>
    <col min="6" max="6" width="17.625" customWidth="1"/>
    <col min="7" max="7" width="12.25" customWidth="1"/>
    <col min="8" max="1024" width="8.5" customWidth="1"/>
  </cols>
  <sheetData>
    <row r="2" spans="2:7" ht="18">
      <c r="B2" s="1" t="s">
        <v>0</v>
      </c>
    </row>
    <row r="3" spans="2:7" ht="15">
      <c r="B3" s="2" t="s">
        <v>1</v>
      </c>
      <c r="C3" s="3"/>
      <c r="D3" s="3"/>
      <c r="E3" s="3"/>
      <c r="F3" s="3"/>
    </row>
    <row r="4" spans="2:7">
      <c r="B4" s="4"/>
      <c r="C4" s="3"/>
      <c r="D4" s="3"/>
      <c r="E4" s="3"/>
      <c r="F4" s="3"/>
    </row>
    <row r="5" spans="2:7">
      <c r="B5" s="4" t="s">
        <v>2</v>
      </c>
      <c r="C5" s="3"/>
      <c r="D5" s="3"/>
      <c r="E5" s="3"/>
      <c r="F5" s="3"/>
    </row>
    <row r="6" spans="2:7">
      <c r="B6" s="5" t="s">
        <v>3</v>
      </c>
      <c r="C6" s="6" t="s">
        <v>4</v>
      </c>
      <c r="D6" s="7" t="s">
        <v>5</v>
      </c>
      <c r="E6" s="6" t="s">
        <v>6</v>
      </c>
      <c r="F6" s="6" t="s">
        <v>7</v>
      </c>
    </row>
    <row r="7" spans="2:7">
      <c r="B7" t="s">
        <v>8</v>
      </c>
      <c r="C7" s="8" t="s">
        <v>1</v>
      </c>
      <c r="D7" s="9">
        <v>10</v>
      </c>
      <c r="E7" s="8" t="s">
        <v>9</v>
      </c>
      <c r="F7" s="8">
        <v>2017</v>
      </c>
      <c r="G7" s="10" t="s">
        <v>10</v>
      </c>
    </row>
    <row r="9" spans="2:7">
      <c r="B9" t="s">
        <v>11</v>
      </c>
      <c r="C9" s="3" t="s">
        <v>12</v>
      </c>
    </row>
    <row r="10" spans="2:7">
      <c r="B10" t="s">
        <v>13</v>
      </c>
      <c r="C10" s="3" t="s">
        <v>14</v>
      </c>
    </row>
    <row r="12" spans="2:7">
      <c r="B12" t="s">
        <v>15</v>
      </c>
      <c r="C12" s="11" t="s">
        <v>16</v>
      </c>
    </row>
    <row r="13" spans="2:7">
      <c r="B13" t="s">
        <v>17</v>
      </c>
      <c r="C13" s="12" t="s">
        <v>18</v>
      </c>
    </row>
    <row r="14" spans="2:7">
      <c r="B14" t="s">
        <v>19</v>
      </c>
      <c r="C14" s="13" t="s">
        <v>20</v>
      </c>
    </row>
    <row r="15" spans="2:7">
      <c r="B15" t="s">
        <v>21</v>
      </c>
      <c r="C15" s="13" t="s">
        <v>22</v>
      </c>
    </row>
    <row r="16" spans="2:7">
      <c r="C16" t="s">
        <v>23</v>
      </c>
      <c r="F16" s="10" t="s">
        <v>24</v>
      </c>
    </row>
  </sheetData>
  <sheetProtection algorithmName="SHA-512" hashValue="MSmm6ZB6QJEi1GcaqTOYtMUk1loUYsZK0eFyw4AY4/S/OPfiExOFMZQmVyc9oyTIwP9/bwPPTewJS19icRVvmw==" saltValue="SDN5IIEwL4Y0D1Lk5BntkA==" spinCount="100000" sheet="1" objects="1" scenarios="1"/>
  <hyperlinks>
    <hyperlink ref="C13" r:id="rId1" xr:uid="{00000000-0004-0000-0000-000000000000}"/>
    <hyperlink ref="C14" r:id="rId2" xr:uid="{00000000-0004-0000-0000-000001000000}"/>
    <hyperlink ref="C15" r:id="rId3" xr:uid="{00000000-0004-0000-0000-000002000000}"/>
  </hyperlinks>
  <pageMargins left="0.75000000000000011" right="0.75000000000000011" top="1.3937000000000002" bottom="1.3937000000000002" header="1" footer="1"/>
  <pageSetup paperSize="0" fitToWidth="0" fitToHeight="0" orientation="portrait" horizontalDpi="0" verticalDpi="0" copies="0"/>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L75"/>
  <sheetViews>
    <sheetView topLeftCell="A37" workbookViewId="0">
      <selection activeCell="K54" sqref="K54"/>
    </sheetView>
  </sheetViews>
  <sheetFormatPr defaultRowHeight="14.25"/>
  <cols>
    <col min="1" max="1" width="14" customWidth="1"/>
    <col min="2" max="2" width="40.125" customWidth="1"/>
    <col min="3" max="3" width="9.875" customWidth="1"/>
    <col min="4" max="4" width="14.875" customWidth="1"/>
    <col min="5" max="5" width="12.125" customWidth="1"/>
    <col min="6" max="7" width="8.625" customWidth="1"/>
    <col min="8" max="8" width="11.375" bestFit="1" customWidth="1"/>
    <col min="9" max="10" width="8" customWidth="1"/>
    <col min="11" max="11" width="17.875" customWidth="1"/>
    <col min="12" max="12" width="25" customWidth="1"/>
    <col min="13" max="1024" width="8" customWidth="1"/>
  </cols>
  <sheetData>
    <row r="1" spans="1:11" ht="15.75">
      <c r="A1" s="23" t="s">
        <v>25</v>
      </c>
      <c r="B1" s="14" t="s">
        <v>26</v>
      </c>
    </row>
    <row r="2" spans="1:11">
      <c r="A2" s="15" t="s">
        <v>27</v>
      </c>
      <c r="B2" s="16" t="s">
        <v>28</v>
      </c>
    </row>
    <row r="3" spans="1:11" ht="51">
      <c r="A3" s="17" t="s">
        <v>38</v>
      </c>
      <c r="B3" s="18" t="s">
        <v>39</v>
      </c>
      <c r="C3" s="33" t="s">
        <v>83</v>
      </c>
      <c r="D3" s="17" t="s">
        <v>63</v>
      </c>
      <c r="E3" s="17" t="s">
        <v>64</v>
      </c>
      <c r="F3" s="17" t="s">
        <v>65</v>
      </c>
      <c r="G3" s="17" t="s">
        <v>66</v>
      </c>
      <c r="H3" s="17" t="s">
        <v>67</v>
      </c>
      <c r="I3" s="17" t="s">
        <v>68</v>
      </c>
      <c r="J3" s="17" t="s">
        <v>69</v>
      </c>
      <c r="K3" s="17" t="s">
        <v>70</v>
      </c>
    </row>
    <row r="4" spans="1:11" hidden="1">
      <c r="A4" s="19">
        <v>24653</v>
      </c>
    </row>
    <row r="5" spans="1:11" hidden="1">
      <c r="A5" s="19">
        <v>25019</v>
      </c>
    </row>
    <row r="6" spans="1:11" hidden="1">
      <c r="A6" s="19">
        <v>25384</v>
      </c>
    </row>
    <row r="7" spans="1:11" hidden="1">
      <c r="A7" s="19">
        <v>25749</v>
      </c>
    </row>
    <row r="8" spans="1:11" hidden="1">
      <c r="A8" s="19">
        <v>26114</v>
      </c>
    </row>
    <row r="9" spans="1:11" hidden="1">
      <c r="A9" s="19">
        <v>26480</v>
      </c>
    </row>
    <row r="10" spans="1:11" hidden="1">
      <c r="A10" s="19">
        <v>26845</v>
      </c>
    </row>
    <row r="11" spans="1:11" hidden="1">
      <c r="A11" s="19">
        <v>27210</v>
      </c>
    </row>
    <row r="12" spans="1:11" hidden="1">
      <c r="A12" s="19">
        <v>27575</v>
      </c>
    </row>
    <row r="13" spans="1:11" hidden="1">
      <c r="A13" s="19">
        <v>27941</v>
      </c>
    </row>
    <row r="14" spans="1:11" hidden="1">
      <c r="A14" s="19">
        <v>28306</v>
      </c>
    </row>
    <row r="15" spans="1:11" hidden="1">
      <c r="A15" s="19">
        <v>28671</v>
      </c>
    </row>
    <row r="16" spans="1:11" hidden="1">
      <c r="A16" s="19">
        <v>29036</v>
      </c>
    </row>
    <row r="17" spans="1:1" hidden="1">
      <c r="A17" s="19">
        <v>29402</v>
      </c>
    </row>
    <row r="18" spans="1:1" hidden="1">
      <c r="A18" s="19">
        <v>29767</v>
      </c>
    </row>
    <row r="19" spans="1:1" hidden="1">
      <c r="A19" s="19">
        <v>30132</v>
      </c>
    </row>
    <row r="20" spans="1:1" hidden="1">
      <c r="A20" s="19">
        <v>30497</v>
      </c>
    </row>
    <row r="21" spans="1:1" hidden="1">
      <c r="A21" s="19">
        <v>30863</v>
      </c>
    </row>
    <row r="22" spans="1:1" hidden="1">
      <c r="A22" s="19">
        <v>31228</v>
      </c>
    </row>
    <row r="23" spans="1:1" hidden="1">
      <c r="A23" s="19">
        <v>31593</v>
      </c>
    </row>
    <row r="24" spans="1:1" hidden="1">
      <c r="A24" s="19">
        <v>31958</v>
      </c>
    </row>
    <row r="25" spans="1:1" hidden="1">
      <c r="A25" s="19">
        <v>32324</v>
      </c>
    </row>
    <row r="26" spans="1:1" hidden="1">
      <c r="A26" s="19">
        <v>32689</v>
      </c>
    </row>
    <row r="27" spans="1:1" hidden="1">
      <c r="A27" s="19">
        <v>33054</v>
      </c>
    </row>
    <row r="28" spans="1:1" hidden="1">
      <c r="A28" s="19">
        <v>33419</v>
      </c>
    </row>
    <row r="29" spans="1:1" hidden="1">
      <c r="A29" s="19">
        <v>33785</v>
      </c>
    </row>
    <row r="30" spans="1:1" hidden="1">
      <c r="A30" s="19">
        <v>34150</v>
      </c>
    </row>
    <row r="31" spans="1:1" hidden="1">
      <c r="A31" s="19">
        <v>34515</v>
      </c>
    </row>
    <row r="32" spans="1:1" hidden="1">
      <c r="A32" s="19">
        <v>34880</v>
      </c>
    </row>
    <row r="33" spans="1:12" hidden="1">
      <c r="A33" s="19">
        <v>35246</v>
      </c>
    </row>
    <row r="34" spans="1:12">
      <c r="A34" s="19">
        <v>35611</v>
      </c>
      <c r="B34">
        <v>212017</v>
      </c>
      <c r="L34" s="211" t="s">
        <v>71</v>
      </c>
    </row>
    <row r="35" spans="1:12">
      <c r="A35" s="19">
        <v>35976</v>
      </c>
      <c r="B35">
        <v>188552</v>
      </c>
      <c r="L35" s="211"/>
    </row>
    <row r="36" spans="1:12">
      <c r="A36" s="19">
        <v>36341</v>
      </c>
      <c r="B36">
        <v>196350</v>
      </c>
      <c r="L36" s="211"/>
    </row>
    <row r="37" spans="1:12">
      <c r="A37" s="19">
        <v>36707</v>
      </c>
      <c r="B37">
        <v>212133</v>
      </c>
      <c r="L37" s="211"/>
    </row>
    <row r="38" spans="1:12">
      <c r="A38" s="19">
        <v>37072</v>
      </c>
      <c r="B38">
        <v>178376</v>
      </c>
      <c r="L38" s="211"/>
    </row>
    <row r="39" spans="1:12">
      <c r="A39" s="19">
        <v>37437</v>
      </c>
      <c r="B39">
        <v>196276</v>
      </c>
      <c r="L39" s="211"/>
    </row>
    <row r="40" spans="1:12">
      <c r="A40" s="19">
        <v>37802</v>
      </c>
      <c r="B40">
        <v>197024</v>
      </c>
      <c r="L40" s="211"/>
    </row>
    <row r="41" spans="1:12">
      <c r="A41" s="19">
        <v>38168</v>
      </c>
      <c r="B41">
        <v>194725</v>
      </c>
      <c r="L41" s="211"/>
    </row>
    <row r="42" spans="1:12">
      <c r="A42" s="19">
        <v>38533</v>
      </c>
      <c r="B42">
        <v>202509</v>
      </c>
      <c r="L42" s="211"/>
    </row>
    <row r="43" spans="1:12">
      <c r="A43" s="19">
        <v>38898</v>
      </c>
      <c r="B43" s="24">
        <v>182294</v>
      </c>
      <c r="C43" s="24"/>
      <c r="L43" s="211"/>
    </row>
    <row r="44" spans="1:12">
      <c r="A44" s="19">
        <v>39263</v>
      </c>
      <c r="B44" s="24">
        <v>201053</v>
      </c>
      <c r="C44" s="24">
        <f t="shared" ref="C44:C54" si="0">B44*0.67</f>
        <v>134705.51</v>
      </c>
      <c r="D44" s="24">
        <f t="shared" ref="D44:D54" si="1">C44*1000000</f>
        <v>134705510000.00002</v>
      </c>
      <c r="E44" s="25">
        <f t="shared" ref="E44:E54" si="2">D44/$C$63</f>
        <v>2766026.899383984</v>
      </c>
      <c r="F44" s="25">
        <f t="shared" ref="F44:F54" si="3">E44*$C$60</f>
        <v>69150.672484599607</v>
      </c>
      <c r="G44" s="25">
        <f t="shared" ref="G44:G54" si="4">F44*$C$64</f>
        <v>67767.659034907614</v>
      </c>
      <c r="H44" s="25">
        <f t="shared" ref="H44:H54" si="5">G44*$C$62</f>
        <v>5692483.3589322399</v>
      </c>
      <c r="I44">
        <f t="shared" ref="I44:I54" si="6">H44/1000000</f>
        <v>5.6924833589322397</v>
      </c>
      <c r="J44">
        <f t="shared" ref="J44:J54" si="7">I44*$C$58</f>
        <v>4.8792714505133477</v>
      </c>
      <c r="K44">
        <f>J44+'PA Frack Wells (84)'!$D$79</f>
        <v>5.0150575712105168</v>
      </c>
    </row>
    <row r="45" spans="1:12">
      <c r="A45" s="19">
        <v>39629</v>
      </c>
      <c r="B45" s="24">
        <v>196067</v>
      </c>
      <c r="C45" s="24">
        <f t="shared" si="0"/>
        <v>131364.89000000001</v>
      </c>
      <c r="D45" s="24">
        <f t="shared" si="1"/>
        <v>131364890000.00002</v>
      </c>
      <c r="E45" s="25">
        <f t="shared" si="2"/>
        <v>2697431.0061601647</v>
      </c>
      <c r="F45" s="25">
        <f t="shared" si="3"/>
        <v>67435.775154004121</v>
      </c>
      <c r="G45" s="25">
        <f t="shared" si="4"/>
        <v>66087.059650924042</v>
      </c>
      <c r="H45" s="25">
        <f t="shared" si="5"/>
        <v>5551313.0106776198</v>
      </c>
      <c r="I45">
        <f t="shared" si="6"/>
        <v>5.5513130106776201</v>
      </c>
      <c r="J45">
        <f t="shared" si="7"/>
        <v>4.7582682948665314</v>
      </c>
      <c r="K45">
        <f>J45+'PA Frack Wells (84)'!$D$79</f>
        <v>4.8940544155637005</v>
      </c>
    </row>
    <row r="46" spans="1:12">
      <c r="A46" s="19">
        <v>39994</v>
      </c>
      <c r="B46" s="24">
        <v>196510</v>
      </c>
      <c r="C46" s="24">
        <f t="shared" si="0"/>
        <v>131661.70000000001</v>
      </c>
      <c r="D46" s="24">
        <f t="shared" si="1"/>
        <v>131661700000.00002</v>
      </c>
      <c r="E46" s="25">
        <f t="shared" si="2"/>
        <v>2703525.6673511295</v>
      </c>
      <c r="F46" s="25">
        <f t="shared" si="3"/>
        <v>67588.141683778245</v>
      </c>
      <c r="G46" s="25">
        <f t="shared" si="4"/>
        <v>66236.378850102672</v>
      </c>
      <c r="H46" s="25">
        <f t="shared" si="5"/>
        <v>5563855.8234086242</v>
      </c>
      <c r="I46">
        <f t="shared" si="6"/>
        <v>5.5638558234086242</v>
      </c>
      <c r="J46">
        <f t="shared" si="7"/>
        <v>4.7690192772073923</v>
      </c>
      <c r="K46">
        <f>J46+'PA Frack Wells (84)'!$D$79</f>
        <v>4.9048053979045614</v>
      </c>
    </row>
    <row r="47" spans="1:12">
      <c r="A47" s="19">
        <v>40359</v>
      </c>
      <c r="B47" s="24">
        <v>212020</v>
      </c>
      <c r="C47" s="24">
        <f t="shared" si="0"/>
        <v>142053.4</v>
      </c>
      <c r="D47" s="24">
        <f t="shared" si="1"/>
        <v>142053400000</v>
      </c>
      <c r="E47" s="25">
        <f t="shared" si="2"/>
        <v>2916907.5975359343</v>
      </c>
      <c r="F47" s="25">
        <f t="shared" si="3"/>
        <v>72922.689938398355</v>
      </c>
      <c r="G47" s="25">
        <f t="shared" si="4"/>
        <v>71464.23613963039</v>
      </c>
      <c r="H47" s="25">
        <f t="shared" si="5"/>
        <v>6002995.8357289527</v>
      </c>
      <c r="I47">
        <f t="shared" si="6"/>
        <v>6.002995835728953</v>
      </c>
      <c r="J47">
        <f t="shared" si="7"/>
        <v>5.145425002053388</v>
      </c>
      <c r="K47">
        <f>J47+'PA Frack Wells (84)'!$D$79</f>
        <v>5.2812111227505572</v>
      </c>
    </row>
    <row r="48" spans="1:12">
      <c r="A48" s="19">
        <v>40724</v>
      </c>
      <c r="B48" s="24">
        <v>193986</v>
      </c>
      <c r="C48" s="24">
        <f t="shared" si="0"/>
        <v>129970.62000000001</v>
      </c>
      <c r="D48" s="24">
        <f t="shared" si="1"/>
        <v>129970620000.00002</v>
      </c>
      <c r="E48" s="25">
        <f t="shared" si="2"/>
        <v>2668801.2320328546</v>
      </c>
      <c r="F48" s="25">
        <f t="shared" si="3"/>
        <v>66720.030800821361</v>
      </c>
      <c r="G48" s="25">
        <f t="shared" si="4"/>
        <v>65385.630184804933</v>
      </c>
      <c r="H48" s="25">
        <f t="shared" si="5"/>
        <v>5492392.9355236143</v>
      </c>
      <c r="I48">
        <f t="shared" si="6"/>
        <v>5.4923929355236139</v>
      </c>
      <c r="J48">
        <f t="shared" si="7"/>
        <v>4.7077653733059543</v>
      </c>
      <c r="K48">
        <f>J48+'PA Frack Wells (84)'!$D$79</f>
        <v>4.8435514940031235</v>
      </c>
    </row>
    <row r="49" spans="1:12">
      <c r="A49" s="19">
        <v>41090</v>
      </c>
      <c r="B49" s="24">
        <v>208946</v>
      </c>
      <c r="C49" s="24">
        <f t="shared" si="0"/>
        <v>139993.82</v>
      </c>
      <c r="D49" s="24">
        <f t="shared" si="1"/>
        <v>139993820000</v>
      </c>
      <c r="E49" s="25">
        <f t="shared" si="2"/>
        <v>2874616.4271047227</v>
      </c>
      <c r="F49" s="25">
        <f t="shared" si="3"/>
        <v>71865.410677618071</v>
      </c>
      <c r="G49" s="25">
        <f t="shared" si="4"/>
        <v>70428.102464065712</v>
      </c>
      <c r="H49" s="25">
        <f t="shared" si="5"/>
        <v>5915960.6069815196</v>
      </c>
      <c r="I49">
        <f t="shared" si="6"/>
        <v>5.9159606069815194</v>
      </c>
      <c r="J49">
        <f t="shared" si="7"/>
        <v>5.0708233774127303</v>
      </c>
      <c r="K49">
        <f>J49+'PA Frack Wells (84)'!$D$79</f>
        <v>5.2066094981098994</v>
      </c>
    </row>
    <row r="50" spans="1:12">
      <c r="A50" s="19">
        <v>41455</v>
      </c>
      <c r="B50" s="24">
        <v>197356</v>
      </c>
      <c r="C50" s="24">
        <f t="shared" si="0"/>
        <v>132228.52000000002</v>
      </c>
      <c r="D50" s="24">
        <f t="shared" si="1"/>
        <v>132228520000.00002</v>
      </c>
      <c r="E50" s="25">
        <f t="shared" si="2"/>
        <v>2715164.6817248464</v>
      </c>
      <c r="F50" s="25">
        <f t="shared" si="3"/>
        <v>67879.117043121165</v>
      </c>
      <c r="G50" s="25">
        <f t="shared" si="4"/>
        <v>66521.534702258738</v>
      </c>
      <c r="H50" s="25">
        <f t="shared" si="5"/>
        <v>5587808.9149897341</v>
      </c>
      <c r="I50">
        <f t="shared" si="6"/>
        <v>5.5878089149897336</v>
      </c>
      <c r="J50">
        <f t="shared" si="7"/>
        <v>4.7895504985626287</v>
      </c>
      <c r="K50">
        <f>J50+'PA Frack Wells (84)'!$D$79</f>
        <v>4.9253366192597978</v>
      </c>
    </row>
    <row r="51" spans="1:12">
      <c r="A51" s="19">
        <v>41820</v>
      </c>
      <c r="B51" s="24">
        <v>207103</v>
      </c>
      <c r="C51" s="24">
        <f t="shared" si="0"/>
        <v>138759.01</v>
      </c>
      <c r="D51" s="24">
        <f t="shared" si="1"/>
        <v>138759010000</v>
      </c>
      <c r="E51" s="25">
        <f t="shared" si="2"/>
        <v>2849260.9856262836</v>
      </c>
      <c r="F51" s="25">
        <f t="shared" si="3"/>
        <v>71231.524640657095</v>
      </c>
      <c r="G51" s="25">
        <f t="shared" si="4"/>
        <v>69806.894147843952</v>
      </c>
      <c r="H51" s="25">
        <f t="shared" si="5"/>
        <v>5863779.1084188921</v>
      </c>
      <c r="I51">
        <f t="shared" si="6"/>
        <v>5.8637791084188917</v>
      </c>
      <c r="J51">
        <f t="shared" si="7"/>
        <v>5.0260963786447643</v>
      </c>
      <c r="K51">
        <f>J51+'PA Frack Wells (84)'!$D$79</f>
        <v>5.1618824993419334</v>
      </c>
    </row>
    <row r="52" spans="1:12">
      <c r="A52" s="19">
        <v>42185</v>
      </c>
      <c r="B52" s="24">
        <v>215005</v>
      </c>
      <c r="C52" s="24">
        <f t="shared" si="0"/>
        <v>144053.35</v>
      </c>
      <c r="D52" s="24">
        <f t="shared" si="1"/>
        <v>144053350000</v>
      </c>
      <c r="E52" s="25">
        <f t="shared" si="2"/>
        <v>2957974.3326488705</v>
      </c>
      <c r="F52" s="25">
        <f t="shared" si="3"/>
        <v>73949.358316221769</v>
      </c>
      <c r="G52" s="25">
        <f t="shared" si="4"/>
        <v>72470.371149897328</v>
      </c>
      <c r="H52" s="25">
        <f t="shared" si="5"/>
        <v>6087511.1765913758</v>
      </c>
      <c r="I52">
        <f t="shared" si="6"/>
        <v>6.0875111765913754</v>
      </c>
      <c r="J52">
        <f t="shared" si="7"/>
        <v>5.217866722792607</v>
      </c>
      <c r="K52">
        <f>J52+'PA Frack Wells (84)'!$D$79</f>
        <v>5.3536528434897761</v>
      </c>
    </row>
    <row r="53" spans="1:12">
      <c r="A53" s="19">
        <v>42551</v>
      </c>
      <c r="B53" s="24">
        <v>219024</v>
      </c>
      <c r="C53" s="24">
        <f t="shared" si="0"/>
        <v>146746.08000000002</v>
      </c>
      <c r="D53" s="24">
        <f t="shared" si="1"/>
        <v>146746080000.00003</v>
      </c>
      <c r="E53" s="25">
        <f t="shared" si="2"/>
        <v>3013266.529774128</v>
      </c>
      <c r="F53" s="25">
        <f t="shared" si="3"/>
        <v>75331.6632443532</v>
      </c>
      <c r="G53" s="25">
        <f t="shared" si="4"/>
        <v>73825.029979466141</v>
      </c>
      <c r="H53" s="25">
        <f t="shared" si="5"/>
        <v>6201302.5182751557</v>
      </c>
      <c r="I53">
        <f t="shared" si="6"/>
        <v>6.2013025182751553</v>
      </c>
      <c r="J53">
        <f t="shared" si="7"/>
        <v>5.3154021585215618</v>
      </c>
      <c r="K53">
        <f>J53+'PA Frack Wells (84)'!$D$79</f>
        <v>5.4511882792187309</v>
      </c>
    </row>
    <row r="54" spans="1:12">
      <c r="A54" s="19">
        <v>42916</v>
      </c>
      <c r="B54" s="24">
        <v>222877</v>
      </c>
      <c r="C54" s="24">
        <f t="shared" si="0"/>
        <v>149327.59</v>
      </c>
      <c r="D54" s="24">
        <f t="shared" si="1"/>
        <v>149327590000</v>
      </c>
      <c r="E54" s="25">
        <f t="shared" si="2"/>
        <v>3066274.9486652976</v>
      </c>
      <c r="F54" s="25">
        <f t="shared" si="3"/>
        <v>76656.873716632443</v>
      </c>
      <c r="G54" s="25">
        <f t="shared" si="4"/>
        <v>75123.736242299798</v>
      </c>
      <c r="H54" s="25">
        <f t="shared" si="5"/>
        <v>6310393.8443531832</v>
      </c>
      <c r="I54">
        <f t="shared" si="6"/>
        <v>6.3103938443531833</v>
      </c>
      <c r="J54">
        <f t="shared" si="7"/>
        <v>5.4089090094455852</v>
      </c>
      <c r="K54">
        <f>J54+'PA Frack Wells (84)'!$D$79</f>
        <v>5.5446951301427543</v>
      </c>
    </row>
    <row r="55" spans="1:12">
      <c r="B55" s="24"/>
    </row>
    <row r="57" spans="1:12" ht="15" thickBot="1">
      <c r="B57" s="26" t="s">
        <v>72</v>
      </c>
      <c r="C57" s="26" t="s">
        <v>73</v>
      </c>
      <c r="D57" s="26"/>
      <c r="E57" s="27"/>
      <c r="F57" s="27"/>
      <c r="G57" s="212" t="s">
        <v>49</v>
      </c>
      <c r="H57" s="212"/>
      <c r="I57" s="212"/>
      <c r="J57" s="212"/>
      <c r="K57" s="212"/>
      <c r="L57" s="212"/>
    </row>
    <row r="58" spans="1:12">
      <c r="B58" s="20" t="s">
        <v>74</v>
      </c>
      <c r="C58" s="28">
        <f>6/7</f>
        <v>0.8571428571428571</v>
      </c>
      <c r="D58" s="29"/>
      <c r="E58" s="30"/>
      <c r="F58" s="30"/>
      <c r="G58" s="31" t="s">
        <v>75</v>
      </c>
      <c r="H58" s="32"/>
      <c r="I58" s="32"/>
      <c r="J58" s="32"/>
      <c r="K58" s="32"/>
      <c r="L58" s="32"/>
    </row>
    <row r="59" spans="1:12" ht="12.75" customHeight="1">
      <c r="G59" s="213" t="s">
        <v>50</v>
      </c>
      <c r="H59" s="213"/>
      <c r="I59" s="213"/>
      <c r="J59" s="213"/>
      <c r="K59" s="213"/>
      <c r="L59" s="213"/>
    </row>
    <row r="60" spans="1:12" ht="12.75" customHeight="1">
      <c r="B60" s="20" t="s">
        <v>51</v>
      </c>
      <c r="C60" s="20">
        <v>2.5000000000000001E-2</v>
      </c>
      <c r="G60" s="213" t="s">
        <v>52</v>
      </c>
      <c r="H60" s="213"/>
      <c r="I60" s="213"/>
      <c r="J60" s="213"/>
      <c r="K60" s="213"/>
      <c r="L60" s="213"/>
    </row>
    <row r="61" spans="1:12">
      <c r="B61" s="20" t="s">
        <v>53</v>
      </c>
      <c r="C61" s="20">
        <v>26.3</v>
      </c>
    </row>
    <row r="62" spans="1:12">
      <c r="B62" s="20" t="s">
        <v>54</v>
      </c>
      <c r="C62" s="20">
        <v>84</v>
      </c>
      <c r="G62" s="12" t="s">
        <v>81</v>
      </c>
    </row>
    <row r="63" spans="1:12" ht="12.75" customHeight="1">
      <c r="B63" s="20" t="s">
        <v>56</v>
      </c>
      <c r="C63" s="21">
        <v>48700</v>
      </c>
      <c r="D63" t="s">
        <v>57</v>
      </c>
      <c r="G63" s="213" t="s">
        <v>58</v>
      </c>
      <c r="H63" s="213"/>
      <c r="I63" s="213"/>
      <c r="J63" s="213"/>
      <c r="K63" s="213"/>
      <c r="L63" s="213"/>
    </row>
    <row r="64" spans="1:12" ht="12.75" customHeight="1">
      <c r="B64" s="20" t="s">
        <v>59</v>
      </c>
      <c r="C64" s="20">
        <v>0.98</v>
      </c>
      <c r="D64" s="3" t="s">
        <v>60</v>
      </c>
      <c r="G64" s="213"/>
      <c r="H64" s="213"/>
      <c r="I64" s="213"/>
      <c r="J64" s="213"/>
      <c r="K64" s="213"/>
    </row>
    <row r="65" spans="2:9">
      <c r="D65" s="3" t="s">
        <v>76</v>
      </c>
      <c r="G65" s="12" t="s">
        <v>77</v>
      </c>
    </row>
    <row r="66" spans="2:9">
      <c r="B66" s="20"/>
      <c r="C66" s="28"/>
    </row>
    <row r="68" spans="2:9">
      <c r="G68" s="12"/>
    </row>
    <row r="70" spans="2:9" ht="72" customHeight="1">
      <c r="B70" s="209" t="s">
        <v>78</v>
      </c>
      <c r="C70" s="209"/>
      <c r="D70" s="209"/>
      <c r="E70" s="209"/>
      <c r="F70" s="209"/>
      <c r="G70" s="209"/>
      <c r="H70" s="209"/>
      <c r="I70" s="209"/>
    </row>
    <row r="71" spans="2:9">
      <c r="B71" s="12" t="s">
        <v>79</v>
      </c>
    </row>
    <row r="74" spans="2:9">
      <c r="B74" s="3" t="s">
        <v>80</v>
      </c>
    </row>
    <row r="75" spans="2:9">
      <c r="B75" s="12" t="s">
        <v>77</v>
      </c>
    </row>
  </sheetData>
  <sheetProtection algorithmName="SHA-512" hashValue="U+WyWWHsamEvjh7kq3xGPkK7LPtX8BW+VZVNAdzpuA8CUYYgH8rXkGRDZThyvRY9gWlTTCpAJ6LdjQyYwK2ZNw==" saltValue="aj53R3oZ4rECW41f2dFNAg==" spinCount="100000" sheet="1" objects="1" scenarios="1"/>
  <mergeCells count="7">
    <mergeCell ref="B70:I70"/>
    <mergeCell ref="L34:L43"/>
    <mergeCell ref="G57:L57"/>
    <mergeCell ref="G59:L59"/>
    <mergeCell ref="G60:L60"/>
    <mergeCell ref="G63:L63"/>
    <mergeCell ref="G64:K64"/>
  </mergeCells>
  <hyperlinks>
    <hyperlink ref="A1" location="Contents!A1" display="Back to Contents" xr:uid="{00000000-0004-0000-0900-000000000000}"/>
    <hyperlink ref="G60" r:id="rId1" xr:uid="{00000000-0004-0000-0900-000001000000}"/>
    <hyperlink ref="G62" r:id="rId2" xr:uid="{00000000-0004-0000-0900-000002000000}"/>
    <hyperlink ref="G63" r:id="rId3" xr:uid="{00000000-0004-0000-0900-000003000000}"/>
    <hyperlink ref="G65" r:id="rId4" xr:uid="{00000000-0004-0000-0900-000004000000}"/>
    <hyperlink ref="B71" r:id="rId5" xr:uid="{00000000-0004-0000-0900-000005000000}"/>
    <hyperlink ref="B75" r:id="rId6" xr:uid="{00000000-0004-0000-0900-000006000000}"/>
  </hyperlinks>
  <pageMargins left="0.70000000000000007" right="0.70000000000000007" top="1.1437000000000002" bottom="1.1437000000000002" header="0.75000000000000011" footer="0.75000000000000011"/>
  <pageSetup paperSize="0" fitToWidth="0" fitToHeight="0" orientation="portrait" horizontalDpi="0" verticalDpi="0" copies="0"/>
  <headerFooter alignWithMargins="0"/>
  <legacyDrawing r:id="rId7"/>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H79"/>
  <sheetViews>
    <sheetView topLeftCell="A49" workbookViewId="0">
      <selection activeCell="D70" sqref="D70"/>
    </sheetView>
  </sheetViews>
  <sheetFormatPr defaultRowHeight="14.25"/>
  <cols>
    <col min="1" max="1" width="33.375" customWidth="1"/>
    <col min="2" max="2" width="39" customWidth="1"/>
    <col min="3" max="3" width="19" customWidth="1"/>
    <col min="4" max="4" width="15.5" customWidth="1"/>
    <col min="5" max="5" width="18.375" customWidth="1"/>
    <col min="6" max="6" width="18" customWidth="1"/>
    <col min="7" max="1024" width="8" customWidth="1"/>
  </cols>
  <sheetData>
    <row r="1" spans="1:6" ht="18">
      <c r="A1" s="34" t="s">
        <v>84</v>
      </c>
    </row>
    <row r="2" spans="1:6" s="39" customFormat="1" ht="189">
      <c r="A2" s="35" t="s">
        <v>85</v>
      </c>
      <c r="B2" s="35" t="s">
        <v>86</v>
      </c>
      <c r="C2" s="35" t="s">
        <v>87</v>
      </c>
      <c r="D2" s="36" t="s">
        <v>88</v>
      </c>
      <c r="E2" s="37" t="s">
        <v>89</v>
      </c>
      <c r="F2" s="38" t="s">
        <v>90</v>
      </c>
    </row>
    <row r="3" spans="1:6">
      <c r="A3" t="s">
        <v>91</v>
      </c>
      <c r="B3" t="s">
        <v>92</v>
      </c>
      <c r="C3" t="s">
        <v>93</v>
      </c>
      <c r="D3" s="24">
        <v>11147649</v>
      </c>
      <c r="E3" s="40">
        <v>30990464.219999999</v>
      </c>
      <c r="F3" s="40">
        <v>4361517.67</v>
      </c>
    </row>
    <row r="4" spans="1:6">
      <c r="A4" t="s">
        <v>94</v>
      </c>
      <c r="B4" t="s">
        <v>92</v>
      </c>
      <c r="C4" t="s">
        <v>93</v>
      </c>
      <c r="D4" s="24">
        <v>10188867</v>
      </c>
      <c r="E4" s="40">
        <v>28325050.260000002</v>
      </c>
      <c r="F4" s="40">
        <v>3986394.21</v>
      </c>
    </row>
    <row r="5" spans="1:6">
      <c r="A5" t="s">
        <v>95</v>
      </c>
      <c r="B5" t="s">
        <v>92</v>
      </c>
      <c r="C5" t="s">
        <v>93</v>
      </c>
      <c r="D5" s="24">
        <v>9981502</v>
      </c>
      <c r="E5" s="40">
        <v>27748575.559999999</v>
      </c>
      <c r="F5" s="40">
        <v>3905262.66</v>
      </c>
    </row>
    <row r="6" spans="1:6">
      <c r="A6" t="s">
        <v>96</v>
      </c>
      <c r="B6" t="s">
        <v>97</v>
      </c>
      <c r="C6" t="s">
        <v>93</v>
      </c>
      <c r="D6" s="24">
        <v>9566283</v>
      </c>
      <c r="E6" s="40">
        <v>26594266.739999998</v>
      </c>
      <c r="F6" s="40">
        <v>3742808.22</v>
      </c>
    </row>
    <row r="7" spans="1:6">
      <c r="A7" t="s">
        <v>98</v>
      </c>
      <c r="B7" t="s">
        <v>97</v>
      </c>
      <c r="C7" t="s">
        <v>93</v>
      </c>
      <c r="D7" s="24">
        <v>9051675</v>
      </c>
      <c r="E7" s="40">
        <v>25163656.5</v>
      </c>
      <c r="F7" s="40">
        <v>3541467.84</v>
      </c>
    </row>
    <row r="8" spans="1:6">
      <c r="A8" t="s">
        <v>99</v>
      </c>
      <c r="B8" t="s">
        <v>92</v>
      </c>
      <c r="C8" t="s">
        <v>93</v>
      </c>
      <c r="D8" s="24">
        <v>8894418</v>
      </c>
      <c r="E8" s="40">
        <v>24726482.039999999</v>
      </c>
      <c r="F8" s="40">
        <v>3479941.04</v>
      </c>
    </row>
    <row r="9" spans="1:6">
      <c r="A9" t="s">
        <v>100</v>
      </c>
      <c r="B9" t="s">
        <v>101</v>
      </c>
      <c r="C9" t="s">
        <v>102</v>
      </c>
      <c r="D9" s="24">
        <v>8892389</v>
      </c>
      <c r="E9" s="40">
        <v>24720841.420000002</v>
      </c>
      <c r="F9" s="40">
        <v>3479147.2</v>
      </c>
    </row>
    <row r="10" spans="1:6">
      <c r="A10" t="s">
        <v>103</v>
      </c>
      <c r="B10" t="s">
        <v>101</v>
      </c>
      <c r="C10" t="s">
        <v>102</v>
      </c>
      <c r="D10" s="24">
        <v>8775712</v>
      </c>
      <c r="E10" s="40">
        <v>24396479.359999999</v>
      </c>
      <c r="F10" s="40">
        <v>3433497.32</v>
      </c>
    </row>
    <row r="11" spans="1:6">
      <c r="A11" t="s">
        <v>104</v>
      </c>
      <c r="B11" t="s">
        <v>105</v>
      </c>
      <c r="C11" t="s">
        <v>106</v>
      </c>
      <c r="D11" s="24">
        <v>8336063</v>
      </c>
      <c r="E11" s="40">
        <v>23174255.140000001</v>
      </c>
      <c r="F11" s="40">
        <v>3261484.65</v>
      </c>
    </row>
    <row r="12" spans="1:6">
      <c r="A12" t="s">
        <v>107</v>
      </c>
      <c r="B12" t="s">
        <v>105</v>
      </c>
      <c r="C12" t="s">
        <v>106</v>
      </c>
      <c r="D12" s="24">
        <v>8226795</v>
      </c>
      <c r="E12" s="40">
        <v>22870490.100000001</v>
      </c>
      <c r="F12" s="40">
        <v>3218733.54</v>
      </c>
    </row>
    <row r="13" spans="1:6">
      <c r="A13" t="s">
        <v>108</v>
      </c>
      <c r="B13" t="s">
        <v>105</v>
      </c>
      <c r="C13" t="s">
        <v>106</v>
      </c>
      <c r="D13" s="24">
        <v>8182121</v>
      </c>
      <c r="E13" s="40">
        <v>22746296.379999999</v>
      </c>
      <c r="F13" s="40">
        <v>3201254.84</v>
      </c>
    </row>
    <row r="14" spans="1:6">
      <c r="A14" t="s">
        <v>109</v>
      </c>
      <c r="B14" t="s">
        <v>101</v>
      </c>
      <c r="C14" t="s">
        <v>102</v>
      </c>
      <c r="D14" s="24">
        <v>8098811</v>
      </c>
      <c r="E14" s="40">
        <v>22514694.579999998</v>
      </c>
      <c r="F14" s="40">
        <v>3168659.8</v>
      </c>
    </row>
    <row r="15" spans="1:6">
      <c r="A15" t="s">
        <v>110</v>
      </c>
      <c r="B15" t="s">
        <v>101</v>
      </c>
      <c r="C15" t="s">
        <v>93</v>
      </c>
      <c r="D15" s="24">
        <v>7753259</v>
      </c>
      <c r="E15" s="40">
        <v>21554060.02</v>
      </c>
      <c r="F15" s="40">
        <v>3033462.58</v>
      </c>
    </row>
    <row r="16" spans="1:6">
      <c r="A16" t="s">
        <v>111</v>
      </c>
      <c r="B16" t="s">
        <v>97</v>
      </c>
      <c r="C16" t="s">
        <v>93</v>
      </c>
      <c r="D16" s="24">
        <v>7709554</v>
      </c>
      <c r="E16" s="40">
        <v>21432560.120000001</v>
      </c>
      <c r="F16" s="40">
        <v>3016363</v>
      </c>
    </row>
    <row r="17" spans="1:6">
      <c r="A17" t="s">
        <v>112</v>
      </c>
      <c r="B17" t="s">
        <v>113</v>
      </c>
      <c r="C17" t="s">
        <v>102</v>
      </c>
      <c r="D17" s="24">
        <v>7653677</v>
      </c>
      <c r="E17" s="40">
        <v>21277222.059999999</v>
      </c>
      <c r="F17" s="40">
        <v>2994501.13</v>
      </c>
    </row>
    <row r="18" spans="1:6">
      <c r="A18" t="s">
        <v>114</v>
      </c>
      <c r="B18" t="s">
        <v>115</v>
      </c>
      <c r="C18" t="s">
        <v>93</v>
      </c>
      <c r="D18" s="24">
        <v>7633418</v>
      </c>
      <c r="E18" s="40">
        <v>21220902.039999999</v>
      </c>
      <c r="F18" s="40">
        <v>2986574.79</v>
      </c>
    </row>
    <row r="19" spans="1:6">
      <c r="A19" t="s">
        <v>116</v>
      </c>
      <c r="B19" t="s">
        <v>101</v>
      </c>
      <c r="C19" t="s">
        <v>93</v>
      </c>
      <c r="D19" s="24">
        <v>7590559</v>
      </c>
      <c r="E19" s="40">
        <v>21101754.02</v>
      </c>
      <c r="F19" s="40">
        <v>2969806.21</v>
      </c>
    </row>
    <row r="20" spans="1:6">
      <c r="A20" t="s">
        <v>117</v>
      </c>
      <c r="B20" t="s">
        <v>118</v>
      </c>
      <c r="C20" t="s">
        <v>93</v>
      </c>
      <c r="D20" s="24">
        <v>7550917</v>
      </c>
      <c r="E20" s="40">
        <v>20991549.260000002</v>
      </c>
      <c r="F20" s="40">
        <v>2954296.28</v>
      </c>
    </row>
    <row r="21" spans="1:6">
      <c r="A21" t="s">
        <v>119</v>
      </c>
      <c r="B21" t="s">
        <v>101</v>
      </c>
      <c r="C21" t="s">
        <v>102</v>
      </c>
      <c r="D21" s="24">
        <v>7509289</v>
      </c>
      <c r="E21" s="40">
        <v>20875823.420000002</v>
      </c>
      <c r="F21" s="40">
        <v>2938009.32</v>
      </c>
    </row>
    <row r="22" spans="1:6">
      <c r="A22" t="s">
        <v>120</v>
      </c>
      <c r="B22" t="s">
        <v>121</v>
      </c>
      <c r="C22" t="s">
        <v>93</v>
      </c>
      <c r="D22" s="24">
        <v>7505226</v>
      </c>
      <c r="E22" s="40">
        <v>20864528.280000001</v>
      </c>
      <c r="F22" s="40">
        <v>2936419.67</v>
      </c>
    </row>
    <row r="23" spans="1:6">
      <c r="A23" t="s">
        <v>122</v>
      </c>
      <c r="B23" t="s">
        <v>121</v>
      </c>
      <c r="C23" t="s">
        <v>93</v>
      </c>
      <c r="D23" s="24">
        <v>7491997</v>
      </c>
      <c r="E23" s="40">
        <v>20827751.66</v>
      </c>
      <c r="F23" s="40">
        <v>2931243.83</v>
      </c>
    </row>
    <row r="24" spans="1:6">
      <c r="A24" t="s">
        <v>123</v>
      </c>
      <c r="B24" t="s">
        <v>124</v>
      </c>
      <c r="C24" t="s">
        <v>125</v>
      </c>
      <c r="D24" s="24">
        <v>7341067</v>
      </c>
      <c r="E24" s="40">
        <v>20408166.260000002</v>
      </c>
      <c r="F24" s="40">
        <v>2872192.46</v>
      </c>
    </row>
    <row r="25" spans="1:6">
      <c r="A25" t="s">
        <v>126</v>
      </c>
      <c r="B25" t="s">
        <v>124</v>
      </c>
      <c r="C25" t="s">
        <v>125</v>
      </c>
      <c r="D25" s="24">
        <v>7320787</v>
      </c>
      <c r="E25" s="40">
        <v>20351787.859999999</v>
      </c>
      <c r="F25" s="40">
        <v>2864257.91</v>
      </c>
    </row>
    <row r="26" spans="1:6">
      <c r="A26" t="s">
        <v>127</v>
      </c>
      <c r="B26" t="s">
        <v>115</v>
      </c>
      <c r="C26" t="s">
        <v>93</v>
      </c>
      <c r="D26" s="24">
        <v>7237383</v>
      </c>
      <c r="E26" s="40">
        <v>20119924.739999998</v>
      </c>
      <c r="F26" s="40">
        <v>2831626.1</v>
      </c>
    </row>
    <row r="27" spans="1:6">
      <c r="A27" t="s">
        <v>128</v>
      </c>
      <c r="B27" t="s">
        <v>121</v>
      </c>
      <c r="C27" t="s">
        <v>93</v>
      </c>
      <c r="D27" s="24">
        <v>7217543</v>
      </c>
      <c r="E27" s="40">
        <v>20064769.539999999</v>
      </c>
      <c r="F27" s="40">
        <v>2823863.7</v>
      </c>
    </row>
    <row r="28" spans="1:6">
      <c r="A28" t="s">
        <v>129</v>
      </c>
      <c r="B28" t="s">
        <v>97</v>
      </c>
      <c r="C28" t="s">
        <v>93</v>
      </c>
      <c r="D28" s="24">
        <v>7211088</v>
      </c>
      <c r="E28" s="40">
        <v>20046824.640000001</v>
      </c>
      <c r="F28" s="40">
        <v>2821338.18</v>
      </c>
    </row>
    <row r="29" spans="1:6">
      <c r="A29" t="s">
        <v>130</v>
      </c>
      <c r="B29" t="s">
        <v>97</v>
      </c>
      <c r="C29" t="s">
        <v>93</v>
      </c>
      <c r="D29" s="24">
        <v>7114035</v>
      </c>
      <c r="E29" s="40">
        <v>19777017.300000001</v>
      </c>
      <c r="F29" s="40">
        <v>2783366.19</v>
      </c>
    </row>
    <row r="30" spans="1:6">
      <c r="A30" t="s">
        <v>131</v>
      </c>
      <c r="B30" t="s">
        <v>97</v>
      </c>
      <c r="C30" t="s">
        <v>93</v>
      </c>
      <c r="D30" s="24">
        <v>7112693</v>
      </c>
      <c r="E30" s="40">
        <v>19773286.539999999</v>
      </c>
      <c r="F30" s="40">
        <v>2782841.14</v>
      </c>
    </row>
    <row r="31" spans="1:6">
      <c r="A31" t="s">
        <v>132</v>
      </c>
      <c r="B31" t="s">
        <v>124</v>
      </c>
      <c r="C31" t="s">
        <v>125</v>
      </c>
      <c r="D31" s="24">
        <v>7092172</v>
      </c>
      <c r="E31" s="40">
        <v>19716238.16</v>
      </c>
      <c r="F31" s="40">
        <v>2774812.29</v>
      </c>
    </row>
    <row r="32" spans="1:6">
      <c r="A32" t="s">
        <v>133</v>
      </c>
      <c r="B32" t="s">
        <v>97</v>
      </c>
      <c r="C32" t="s">
        <v>93</v>
      </c>
      <c r="D32" s="24">
        <v>7077962</v>
      </c>
      <c r="E32" s="40">
        <v>19676734.359999999</v>
      </c>
      <c r="F32" s="40">
        <v>2769252.63</v>
      </c>
    </row>
    <row r="33" spans="1:6">
      <c r="A33" t="s">
        <v>134</v>
      </c>
      <c r="B33" t="s">
        <v>124</v>
      </c>
      <c r="C33" t="s">
        <v>125</v>
      </c>
      <c r="D33" s="24">
        <v>7064743</v>
      </c>
      <c r="E33" s="40">
        <v>19639985.539999999</v>
      </c>
      <c r="F33" s="40">
        <v>2764080.7</v>
      </c>
    </row>
    <row r="34" spans="1:6">
      <c r="A34" t="s">
        <v>135</v>
      </c>
      <c r="B34" t="s">
        <v>124</v>
      </c>
      <c r="C34" t="s">
        <v>125</v>
      </c>
      <c r="D34" s="24">
        <v>7057533</v>
      </c>
      <c r="E34" s="40">
        <v>19619941.739999998</v>
      </c>
      <c r="F34" s="40">
        <v>2761259.79</v>
      </c>
    </row>
    <row r="35" spans="1:6">
      <c r="A35" t="s">
        <v>136</v>
      </c>
      <c r="B35" t="s">
        <v>124</v>
      </c>
      <c r="C35" t="s">
        <v>125</v>
      </c>
      <c r="D35" s="24">
        <v>7036440</v>
      </c>
      <c r="E35" s="40">
        <v>19561303.199999999</v>
      </c>
      <c r="F35" s="40">
        <v>2753007.15</v>
      </c>
    </row>
    <row r="36" spans="1:6">
      <c r="A36" t="s">
        <v>137</v>
      </c>
      <c r="B36" t="s">
        <v>101</v>
      </c>
      <c r="C36" t="s">
        <v>102</v>
      </c>
      <c r="D36" s="24">
        <v>7005841</v>
      </c>
      <c r="E36" s="40">
        <v>19476237.98</v>
      </c>
      <c r="F36" s="40">
        <v>2741035.29</v>
      </c>
    </row>
    <row r="37" spans="1:6">
      <c r="A37" t="s">
        <v>138</v>
      </c>
      <c r="B37" t="s">
        <v>97</v>
      </c>
      <c r="C37" t="s">
        <v>93</v>
      </c>
      <c r="D37" s="24">
        <v>6985394</v>
      </c>
      <c r="E37" s="40">
        <v>19419395.32</v>
      </c>
      <c r="F37" s="40">
        <v>2733035.4</v>
      </c>
    </row>
    <row r="38" spans="1:6">
      <c r="A38" t="s">
        <v>139</v>
      </c>
      <c r="B38" t="s">
        <v>97</v>
      </c>
      <c r="C38" t="s">
        <v>93</v>
      </c>
      <c r="D38" s="24">
        <v>6980881</v>
      </c>
      <c r="E38" s="40">
        <v>19406849.18</v>
      </c>
      <c r="F38" s="40">
        <v>2731269.69</v>
      </c>
    </row>
    <row r="39" spans="1:6">
      <c r="A39" t="s">
        <v>140</v>
      </c>
      <c r="B39" t="s">
        <v>97</v>
      </c>
      <c r="C39" t="s">
        <v>93</v>
      </c>
      <c r="D39" s="24">
        <v>6972823</v>
      </c>
      <c r="E39" s="40">
        <v>19384447.940000001</v>
      </c>
      <c r="F39" s="40">
        <v>2728117</v>
      </c>
    </row>
    <row r="40" spans="1:6">
      <c r="A40" t="s">
        <v>141</v>
      </c>
      <c r="B40" t="s">
        <v>105</v>
      </c>
      <c r="C40" t="s">
        <v>106</v>
      </c>
      <c r="D40" s="24">
        <v>6939464</v>
      </c>
      <c r="E40" s="40">
        <v>19291709.920000002</v>
      </c>
      <c r="F40" s="40">
        <v>2715065.29</v>
      </c>
    </row>
    <row r="41" spans="1:6">
      <c r="A41" t="s">
        <v>142</v>
      </c>
      <c r="B41" t="s">
        <v>143</v>
      </c>
      <c r="C41" t="s">
        <v>106</v>
      </c>
      <c r="D41" s="24">
        <v>6931540</v>
      </c>
      <c r="E41" s="40">
        <v>19269681.199999999</v>
      </c>
      <c r="F41" s="40">
        <v>2711965.02</v>
      </c>
    </row>
    <row r="42" spans="1:6">
      <c r="A42" t="s">
        <v>144</v>
      </c>
      <c r="B42" t="s">
        <v>145</v>
      </c>
      <c r="C42" t="s">
        <v>102</v>
      </c>
      <c r="D42" s="24">
        <v>6910832</v>
      </c>
      <c r="E42" s="40">
        <v>19212112.960000001</v>
      </c>
      <c r="F42" s="40">
        <v>2703863.02</v>
      </c>
    </row>
    <row r="43" spans="1:6">
      <c r="A43" t="s">
        <v>146</v>
      </c>
      <c r="B43" t="s">
        <v>92</v>
      </c>
      <c r="C43" t="s">
        <v>93</v>
      </c>
      <c r="D43" s="24">
        <v>6891663</v>
      </c>
      <c r="E43" s="40">
        <v>19158823.140000001</v>
      </c>
      <c r="F43" s="40">
        <v>2696363.15</v>
      </c>
    </row>
    <row r="44" spans="1:6">
      <c r="A44" t="s">
        <v>147</v>
      </c>
      <c r="B44" t="s">
        <v>124</v>
      </c>
      <c r="C44" t="s">
        <v>125</v>
      </c>
      <c r="D44" s="24">
        <v>6880198</v>
      </c>
      <c r="E44" s="40">
        <v>19126950.440000001</v>
      </c>
      <c r="F44" s="40">
        <v>2691877.47</v>
      </c>
    </row>
    <row r="45" spans="1:6">
      <c r="A45" t="s">
        <v>148</v>
      </c>
      <c r="B45" t="s">
        <v>97</v>
      </c>
      <c r="C45" t="s">
        <v>93</v>
      </c>
      <c r="D45" s="24">
        <v>6804626</v>
      </c>
      <c r="E45" s="40">
        <v>18916860.280000001</v>
      </c>
      <c r="F45" s="40">
        <v>2662309.92</v>
      </c>
    </row>
    <row r="46" spans="1:6">
      <c r="A46" t="s">
        <v>149</v>
      </c>
      <c r="B46" t="s">
        <v>97</v>
      </c>
      <c r="C46" t="s">
        <v>93</v>
      </c>
      <c r="D46" s="24">
        <v>6802426</v>
      </c>
      <c r="E46" s="40">
        <v>18910744.280000001</v>
      </c>
      <c r="F46" s="40">
        <v>2661449.17</v>
      </c>
    </row>
    <row r="47" spans="1:6">
      <c r="A47" t="s">
        <v>150</v>
      </c>
      <c r="B47" t="s">
        <v>101</v>
      </c>
      <c r="C47" t="s">
        <v>93</v>
      </c>
      <c r="D47" s="24">
        <v>6760695</v>
      </c>
      <c r="E47" s="40">
        <v>18794732.100000001</v>
      </c>
      <c r="F47" s="40">
        <v>2645121.92</v>
      </c>
    </row>
    <row r="48" spans="1:6">
      <c r="A48" t="s">
        <v>151</v>
      </c>
      <c r="B48" t="s">
        <v>97</v>
      </c>
      <c r="C48" t="s">
        <v>93</v>
      </c>
      <c r="D48" s="24">
        <v>6758712</v>
      </c>
      <c r="E48" s="40">
        <v>18789219.359999999</v>
      </c>
      <c r="F48" s="40">
        <v>2644346.0699999998</v>
      </c>
    </row>
    <row r="49" spans="1:8">
      <c r="A49" t="s">
        <v>152</v>
      </c>
      <c r="B49" t="s">
        <v>121</v>
      </c>
      <c r="C49" t="s">
        <v>93</v>
      </c>
      <c r="D49" s="24">
        <v>6758703</v>
      </c>
      <c r="E49" s="40">
        <v>18789194.34</v>
      </c>
      <c r="F49" s="40">
        <v>2644342.5499999998</v>
      </c>
    </row>
    <row r="50" spans="1:8">
      <c r="A50" t="s">
        <v>153</v>
      </c>
      <c r="B50" t="s">
        <v>97</v>
      </c>
      <c r="C50" t="s">
        <v>93</v>
      </c>
      <c r="D50" s="24">
        <v>6757596</v>
      </c>
      <c r="E50" s="40">
        <v>18786116.879999999</v>
      </c>
      <c r="F50" s="40">
        <v>2643909.44</v>
      </c>
    </row>
    <row r="51" spans="1:8">
      <c r="A51" t="s">
        <v>154</v>
      </c>
      <c r="B51" t="s">
        <v>115</v>
      </c>
      <c r="C51" t="s">
        <v>93</v>
      </c>
      <c r="D51" s="24">
        <v>6750199</v>
      </c>
      <c r="E51" s="40">
        <v>18765553.219999999</v>
      </c>
      <c r="F51" s="40">
        <v>2641015.36</v>
      </c>
    </row>
    <row r="52" spans="1:8">
      <c r="A52" t="s">
        <v>155</v>
      </c>
      <c r="B52" t="s">
        <v>124</v>
      </c>
      <c r="C52" t="s">
        <v>125</v>
      </c>
      <c r="D52" s="24">
        <v>6725720</v>
      </c>
      <c r="E52" s="40">
        <v>18697501.600000001</v>
      </c>
      <c r="F52" s="40">
        <v>2631437.9500000002</v>
      </c>
    </row>
    <row r="54" spans="1:8">
      <c r="C54" s="41" t="s">
        <v>156</v>
      </c>
      <c r="D54" s="24">
        <f>AVERAGE(D3:D52)</f>
        <v>7604818.7999999998</v>
      </c>
    </row>
    <row r="55" spans="1:8">
      <c r="C55" s="41"/>
      <c r="D55" s="24"/>
    </row>
    <row r="56" spans="1:8">
      <c r="C56" s="41"/>
      <c r="D56" s="24"/>
    </row>
    <row r="57" spans="1:8">
      <c r="A57" s="42" t="s">
        <v>157</v>
      </c>
      <c r="B57" s="43"/>
      <c r="C57" s="44"/>
      <c r="D57" s="45"/>
      <c r="E57" s="43"/>
      <c r="F57" s="43"/>
      <c r="G57" s="43"/>
      <c r="H57" s="46"/>
    </row>
    <row r="58" spans="1:8">
      <c r="A58" s="47" t="s">
        <v>158</v>
      </c>
      <c r="B58" s="30"/>
      <c r="C58" s="30"/>
      <c r="D58" s="48">
        <f>'Total Fracking Leakage (2006)'!C54*1000</f>
        <v>40583000</v>
      </c>
      <c r="E58" s="49" t="s">
        <v>159</v>
      </c>
      <c r="F58" s="30"/>
      <c r="G58" s="30"/>
      <c r="H58" s="50"/>
    </row>
    <row r="59" spans="1:8">
      <c r="A59" s="51"/>
      <c r="B59" s="30"/>
      <c r="C59" s="30"/>
      <c r="D59" s="52">
        <f>D58/D54</f>
        <v>5.3364848088162207</v>
      </c>
      <c r="E59" s="49" t="s">
        <v>160</v>
      </c>
      <c r="F59" s="30"/>
      <c r="G59" s="30"/>
      <c r="H59" s="50"/>
    </row>
    <row r="60" spans="1:8">
      <c r="A60" s="51"/>
      <c r="B60" s="30"/>
      <c r="C60" s="30"/>
      <c r="D60" s="30"/>
      <c r="E60" s="30"/>
      <c r="F60" s="30"/>
      <c r="G60" s="30"/>
      <c r="H60" s="50"/>
    </row>
    <row r="61" spans="1:8">
      <c r="A61" s="51"/>
      <c r="B61" s="30"/>
      <c r="C61" s="30"/>
      <c r="D61" s="30">
        <f>'Emission Calculations'!D36/1000000</f>
        <v>5.789271962838341E-2</v>
      </c>
      <c r="E61" s="49" t="s">
        <v>161</v>
      </c>
      <c r="F61" s="30"/>
      <c r="G61" s="30"/>
      <c r="H61" s="50"/>
    </row>
    <row r="62" spans="1:8">
      <c r="A62" s="53"/>
      <c r="B62" s="54"/>
      <c r="C62" s="54"/>
      <c r="D62" s="54"/>
      <c r="E62" s="55"/>
      <c r="F62" s="54"/>
      <c r="G62" s="54"/>
      <c r="H62" s="56"/>
    </row>
    <row r="63" spans="1:8">
      <c r="A63" s="51"/>
      <c r="B63" s="30"/>
      <c r="C63" s="30"/>
      <c r="D63" s="30"/>
      <c r="E63" s="30"/>
      <c r="F63" s="30"/>
      <c r="G63" s="30"/>
      <c r="H63" s="50"/>
    </row>
    <row r="64" spans="1:8">
      <c r="A64" s="47" t="s">
        <v>162</v>
      </c>
      <c r="B64" s="30"/>
      <c r="C64" s="30"/>
      <c r="D64" s="48">
        <f>'Total Fracking Leakage (Maximum'!C54*1000</f>
        <v>10744000</v>
      </c>
      <c r="E64" s="49" t="s">
        <v>159</v>
      </c>
      <c r="F64" s="30"/>
      <c r="G64" s="30"/>
      <c r="H64" s="50"/>
    </row>
    <row r="65" spans="1:8">
      <c r="A65" s="51"/>
      <c r="B65" s="30"/>
      <c r="C65" s="30"/>
      <c r="D65" s="52">
        <f>D64/D54</f>
        <v>1.4127884283054843</v>
      </c>
      <c r="E65" s="49" t="s">
        <v>160</v>
      </c>
      <c r="F65" s="30"/>
      <c r="G65" s="30"/>
      <c r="H65" s="50"/>
    </row>
    <row r="66" spans="1:8">
      <c r="A66" s="51"/>
      <c r="B66" s="30"/>
      <c r="C66" s="30"/>
      <c r="D66" s="30"/>
      <c r="E66" s="30"/>
      <c r="F66" s="30"/>
      <c r="G66" s="30"/>
      <c r="H66" s="50"/>
    </row>
    <row r="67" spans="1:8">
      <c r="A67" s="51"/>
      <c r="B67" s="30"/>
      <c r="C67" s="30"/>
      <c r="D67" s="30">
        <f>'Emission Calculations (2)'!D36/1000000</f>
        <v>3.9422663427661812E-2</v>
      </c>
      <c r="E67" s="49" t="s">
        <v>163</v>
      </c>
      <c r="F67" s="30"/>
      <c r="G67" s="30"/>
      <c r="H67" s="50"/>
    </row>
    <row r="68" spans="1:8">
      <c r="A68" s="53"/>
      <c r="B68" s="54"/>
      <c r="C68" s="54"/>
      <c r="D68" s="54"/>
      <c r="E68" s="54"/>
      <c r="F68" s="54"/>
      <c r="G68" s="54"/>
      <c r="H68" s="56"/>
    </row>
    <row r="69" spans="1:8">
      <c r="A69" s="51"/>
      <c r="B69" s="30"/>
      <c r="C69" s="30"/>
      <c r="D69" s="30"/>
      <c r="E69" s="30"/>
      <c r="F69" s="30"/>
      <c r="G69" s="30"/>
      <c r="H69" s="50"/>
    </row>
    <row r="70" spans="1:8">
      <c r="A70" s="47" t="s">
        <v>164</v>
      </c>
      <c r="B70" s="30"/>
      <c r="C70" s="30"/>
      <c r="D70" s="48">
        <f>'Total Fracking Leakage (Average'!C54*1000</f>
        <v>25325666.666666657</v>
      </c>
      <c r="E70" s="49" t="s">
        <v>159</v>
      </c>
      <c r="F70" s="30"/>
      <c r="G70" s="30"/>
      <c r="H70" s="50"/>
    </row>
    <row r="71" spans="1:8">
      <c r="A71" s="51"/>
      <c r="B71" s="30"/>
      <c r="C71" s="30"/>
      <c r="D71" s="52">
        <f>D70/D54</f>
        <v>3.3302130310674407</v>
      </c>
      <c r="E71" s="49" t="s">
        <v>160</v>
      </c>
      <c r="F71" s="30"/>
      <c r="G71" s="30"/>
      <c r="H71" s="50"/>
    </row>
    <row r="72" spans="1:8">
      <c r="A72" s="51"/>
      <c r="B72" s="30"/>
      <c r="C72" s="30"/>
      <c r="D72" s="30"/>
      <c r="E72" s="30"/>
      <c r="F72" s="30"/>
      <c r="G72" s="30"/>
      <c r="H72" s="50"/>
    </row>
    <row r="73" spans="1:8">
      <c r="A73" s="51"/>
      <c r="B73" s="30"/>
      <c r="C73" s="30"/>
      <c r="D73" s="30">
        <f>'Emission Calculations (3)'!D36/1000000</f>
        <v>4.8657691528022608E-2</v>
      </c>
      <c r="E73" s="49" t="s">
        <v>165</v>
      </c>
      <c r="F73" s="30"/>
      <c r="G73" s="30"/>
      <c r="H73" s="50"/>
    </row>
    <row r="74" spans="1:8">
      <c r="A74" s="53"/>
      <c r="B74" s="54"/>
      <c r="C74" s="54"/>
      <c r="D74" s="54"/>
      <c r="E74" s="54"/>
      <c r="F74" s="54"/>
      <c r="G74" s="54"/>
      <c r="H74" s="56"/>
    </row>
    <row r="75" spans="1:8">
      <c r="A75" s="51"/>
      <c r="B75" s="30"/>
      <c r="C75" s="30"/>
      <c r="D75" s="30"/>
      <c r="E75" s="30"/>
      <c r="F75" s="30"/>
      <c r="G75" s="30"/>
      <c r="H75" s="50"/>
    </row>
    <row r="76" spans="1:8">
      <c r="A76" s="47" t="s">
        <v>166</v>
      </c>
      <c r="B76" s="30"/>
      <c r="C76" s="30"/>
      <c r="D76" s="48">
        <f>'Total Fracking Leakage (67%)'!C54*1000</f>
        <v>149327590</v>
      </c>
      <c r="E76" s="49" t="s">
        <v>159</v>
      </c>
      <c r="F76" s="30"/>
      <c r="G76" s="30"/>
      <c r="H76" s="50"/>
    </row>
    <row r="77" spans="1:8">
      <c r="A77" s="51"/>
      <c r="B77" s="30"/>
      <c r="C77" s="30"/>
      <c r="D77" s="52">
        <f>D76/D54</f>
        <v>19.635916900478943</v>
      </c>
      <c r="E77" s="49" t="s">
        <v>160</v>
      </c>
      <c r="F77" s="30"/>
      <c r="G77" s="30"/>
      <c r="H77" s="50"/>
    </row>
    <row r="78" spans="1:8">
      <c r="A78" s="51"/>
      <c r="B78" s="30"/>
      <c r="C78" s="30"/>
      <c r="D78" s="30"/>
      <c r="E78" s="30"/>
      <c r="F78" s="30"/>
      <c r="G78" s="30"/>
      <c r="H78" s="50"/>
    </row>
    <row r="79" spans="1:8">
      <c r="A79" s="53"/>
      <c r="B79" s="54"/>
      <c r="C79" s="54"/>
      <c r="D79" s="54">
        <f>'Emission Calculations (4)'!D36/1000000</f>
        <v>0.12253791633090902</v>
      </c>
      <c r="E79" s="55" t="s">
        <v>167</v>
      </c>
      <c r="F79" s="54"/>
      <c r="G79" s="54"/>
      <c r="H79" s="56"/>
    </row>
  </sheetData>
  <sheetProtection algorithmName="SHA-512" hashValue="zYQ49FPA62Ct/40uwjQUZJGOCIi95z11iOQys3vh3YE4ojCJKLS5NVX1rLu3NYDtB9QL5zqnAlsGAIieWx1X6g==" saltValue="Zlo1Wjm+rH2nLAj+oFr9AQ==" spinCount="100000" sheet="1" objects="1" scenarios="1"/>
  <pageMargins left="0.70000000000000007" right="0.70000000000000007" top="1.1437000000000002" bottom="1.1437000000000002" header="0.75000000000000011" footer="0.75000000000000011"/>
  <pageSetup paperSize="0" fitToWidth="0" fitToHeight="0" orientation="portrait" horizontalDpi="0" verticalDpi="0" copies="0"/>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G81"/>
  <sheetViews>
    <sheetView workbookViewId="0">
      <selection activeCell="B7" sqref="B7"/>
    </sheetView>
  </sheetViews>
  <sheetFormatPr defaultRowHeight="14.25"/>
  <cols>
    <col min="1" max="1" width="36" customWidth="1"/>
    <col min="2" max="2" width="16.25" customWidth="1"/>
    <col min="3" max="3" width="29.75" customWidth="1"/>
    <col min="4" max="4" width="26" customWidth="1"/>
    <col min="5" max="5" width="9" customWidth="1"/>
    <col min="6" max="6" width="8.375" customWidth="1"/>
    <col min="7" max="256" width="8" customWidth="1"/>
    <col min="257" max="257" width="36" customWidth="1"/>
    <col min="258" max="258" width="16.25" customWidth="1"/>
    <col min="259" max="259" width="29.75" customWidth="1"/>
    <col min="260" max="260" width="26" customWidth="1"/>
    <col min="261" max="261" width="9" customWidth="1"/>
    <col min="262" max="262" width="8.375" customWidth="1"/>
    <col min="263" max="512" width="8" customWidth="1"/>
    <col min="513" max="513" width="36" customWidth="1"/>
    <col min="514" max="514" width="16.25" customWidth="1"/>
    <col min="515" max="515" width="29.75" customWidth="1"/>
    <col min="516" max="516" width="26" customWidth="1"/>
    <col min="517" max="517" width="9" customWidth="1"/>
    <col min="518" max="518" width="8.375" customWidth="1"/>
    <col min="519" max="768" width="8" customWidth="1"/>
    <col min="769" max="769" width="36" customWidth="1"/>
    <col min="770" max="770" width="16.25" customWidth="1"/>
    <col min="771" max="771" width="29.75" customWidth="1"/>
    <col min="772" max="772" width="26" customWidth="1"/>
    <col min="773" max="773" width="9" customWidth="1"/>
    <col min="774" max="774" width="8.375" customWidth="1"/>
    <col min="775" max="1024" width="8" customWidth="1"/>
  </cols>
  <sheetData>
    <row r="1" spans="1:5" ht="18">
      <c r="A1" s="57" t="s">
        <v>168</v>
      </c>
      <c r="B1" s="58"/>
      <c r="C1" s="58"/>
      <c r="D1" s="58"/>
      <c r="E1" s="59"/>
    </row>
    <row r="2" spans="1:5" ht="18">
      <c r="A2" s="60">
        <v>40525</v>
      </c>
      <c r="B2" s="58"/>
      <c r="C2" s="58"/>
      <c r="D2" s="58"/>
      <c r="E2" s="61"/>
    </row>
    <row r="3" spans="1:5" ht="12.75" customHeight="1">
      <c r="A3" s="228" t="s">
        <v>169</v>
      </c>
      <c r="B3" s="228"/>
      <c r="C3" s="228"/>
      <c r="D3" s="228"/>
      <c r="E3" s="228"/>
    </row>
    <row r="4" spans="1:5">
      <c r="A4" s="228"/>
      <c r="B4" s="228"/>
      <c r="C4" s="228"/>
      <c r="D4" s="228"/>
      <c r="E4" s="228"/>
    </row>
    <row r="5" spans="1:5" ht="96.75" thickBot="1">
      <c r="A5" s="62" t="s">
        <v>170</v>
      </c>
      <c r="B5" s="62" t="s">
        <v>171</v>
      </c>
      <c r="C5" s="62" t="s">
        <v>172</v>
      </c>
      <c r="D5" s="63" t="s">
        <v>173</v>
      </c>
      <c r="E5" s="61"/>
    </row>
    <row r="6" spans="1:5" ht="15" customHeight="1">
      <c r="A6" s="229" t="s">
        <v>174</v>
      </c>
      <c r="B6" s="229"/>
      <c r="C6" s="229"/>
      <c r="D6" s="229"/>
      <c r="E6" s="64"/>
    </row>
    <row r="7" spans="1:5" ht="105" customHeight="1">
      <c r="A7" s="65" t="s">
        <v>175</v>
      </c>
      <c r="B7" s="66">
        <v>6</v>
      </c>
      <c r="C7" s="67" t="s">
        <v>176</v>
      </c>
      <c r="D7" s="68">
        <f>B7*'Guidance and Sources'!D10*1000*'Guidance and Sources'!C62</f>
        <v>22240.2</v>
      </c>
      <c r="E7" s="64"/>
    </row>
    <row r="8" spans="1:5" ht="25.5">
      <c r="A8" s="69" t="s">
        <v>177</v>
      </c>
      <c r="B8" s="70"/>
      <c r="C8" s="70"/>
      <c r="D8" s="71"/>
      <c r="E8" s="64"/>
    </row>
    <row r="9" spans="1:5" ht="55.5" customHeight="1" thickBot="1">
      <c r="A9" s="215" t="s">
        <v>178</v>
      </c>
      <c r="B9" s="66">
        <v>6</v>
      </c>
      <c r="C9" s="67" t="s">
        <v>179</v>
      </c>
      <c r="D9" s="230">
        <f>B9*B10*(('Guidance and Sources'!D25*'Guidance and Sources'!C64)+'Guidance and Sources'!H25)</f>
        <v>5464.8843010824012</v>
      </c>
      <c r="E9" s="64"/>
    </row>
    <row r="10" spans="1:5" ht="60.75" customHeight="1" thickBot="1">
      <c r="A10" s="215"/>
      <c r="B10" s="72">
        <v>0.9</v>
      </c>
      <c r="C10" s="73" t="s">
        <v>180</v>
      </c>
      <c r="D10" s="230"/>
      <c r="E10" s="64"/>
    </row>
    <row r="11" spans="1:5" ht="15" customHeight="1">
      <c r="A11" s="231" t="s">
        <v>181</v>
      </c>
      <c r="B11" s="231"/>
      <c r="C11" s="231"/>
      <c r="D11" s="231"/>
      <c r="E11" s="64"/>
    </row>
    <row r="12" spans="1:5" ht="105" customHeight="1">
      <c r="A12" s="74" t="s">
        <v>182</v>
      </c>
      <c r="B12" s="66">
        <v>0</v>
      </c>
      <c r="C12" s="75" t="s">
        <v>183</v>
      </c>
      <c r="D12" s="76">
        <f>B12*'Guidance and Sources'!D9*1000*'Guidance and Sources'!C62</f>
        <v>0</v>
      </c>
      <c r="E12" s="64"/>
    </row>
    <row r="13" spans="1:5" ht="105" customHeight="1">
      <c r="A13" s="65" t="s">
        <v>184</v>
      </c>
      <c r="B13" s="66"/>
      <c r="C13" s="67" t="s">
        <v>185</v>
      </c>
      <c r="D13" s="76">
        <f>B13*'Guidance and Sources'!D11*1000*'Guidance and Sources'!C62</f>
        <v>0</v>
      </c>
      <c r="E13" s="64"/>
    </row>
    <row r="14" spans="1:5" ht="105" customHeight="1">
      <c r="A14" s="219" t="s">
        <v>186</v>
      </c>
      <c r="B14" s="66"/>
      <c r="C14" s="75" t="s">
        <v>187</v>
      </c>
      <c r="D14" s="225">
        <f>(B14*'Guidance and Sources'!D15*'Guidance and Sources'!C62)+(B15*'Guidance and Sources'!D16*'Guidance and Sources'!C62)</f>
        <v>0</v>
      </c>
      <c r="E14" s="64"/>
    </row>
    <row r="15" spans="1:5" ht="60" customHeight="1">
      <c r="A15" s="219"/>
      <c r="B15" s="66"/>
      <c r="C15" s="75" t="s">
        <v>188</v>
      </c>
      <c r="D15" s="225"/>
      <c r="E15" s="64"/>
    </row>
    <row r="16" spans="1:5" ht="90" customHeight="1">
      <c r="A16" s="224" t="s">
        <v>189</v>
      </c>
      <c r="B16" s="66"/>
      <c r="C16" s="75" t="s">
        <v>190</v>
      </c>
      <c r="D16" s="225">
        <f>B16*B17*'Guidance and Sources'!D17*'Guidance and Sources'!C62*365</f>
        <v>0</v>
      </c>
      <c r="E16" s="64"/>
    </row>
    <row r="17" spans="1:5" ht="60.75" customHeight="1" thickBot="1">
      <c r="A17" s="224"/>
      <c r="B17" s="77"/>
      <c r="C17" s="73" t="s">
        <v>180</v>
      </c>
      <c r="D17" s="225"/>
      <c r="E17" s="64"/>
    </row>
    <row r="18" spans="1:5" ht="90" customHeight="1">
      <c r="A18" s="219" t="s">
        <v>191</v>
      </c>
      <c r="B18" s="66"/>
      <c r="C18" s="75" t="s">
        <v>190</v>
      </c>
      <c r="D18" s="225">
        <f>B18*B19*'Guidance and Sources'!D22*1000*'Guidance and Sources'!C62</f>
        <v>0</v>
      </c>
      <c r="E18" s="64"/>
    </row>
    <row r="19" spans="1:5" ht="60.75" customHeight="1" thickBot="1">
      <c r="A19" s="219"/>
      <c r="B19" s="77"/>
      <c r="C19" s="73" t="s">
        <v>180</v>
      </c>
      <c r="D19" s="225"/>
      <c r="E19" s="64"/>
    </row>
    <row r="20" spans="1:5" ht="90" customHeight="1">
      <c r="A20" s="78" t="s">
        <v>192</v>
      </c>
      <c r="B20" s="79"/>
      <c r="C20" s="80" t="s">
        <v>193</v>
      </c>
      <c r="D20" s="81">
        <f>B20*1000*'Guidance and Sources'!D20</f>
        <v>0</v>
      </c>
      <c r="E20" s="64"/>
    </row>
    <row r="21" spans="1:5" ht="102" customHeight="1">
      <c r="A21" s="74" t="s">
        <v>194</v>
      </c>
      <c r="B21" s="226"/>
      <c r="C21" s="227" t="s">
        <v>195</v>
      </c>
      <c r="D21" s="68">
        <f>B21*('Guidance and Sources'!D7+'Guidance and Sources'!D8)*365*'Guidance and Sources'!C62</f>
        <v>0</v>
      </c>
      <c r="E21" s="64"/>
    </row>
    <row r="22" spans="1:5" ht="76.5" customHeight="1">
      <c r="A22" s="74" t="s">
        <v>196</v>
      </c>
      <c r="B22" s="226"/>
      <c r="C22" s="227"/>
      <c r="D22" s="68">
        <f>B21*'Guidance and Sources'!D23</f>
        <v>0</v>
      </c>
      <c r="E22" s="64"/>
    </row>
    <row r="23" spans="1:5" ht="75" customHeight="1">
      <c r="A23" s="219" t="s">
        <v>197</v>
      </c>
      <c r="B23" s="82"/>
      <c r="C23" s="75" t="s">
        <v>198</v>
      </c>
      <c r="D23" s="220">
        <f>B23*B24*25*1000*'Guidance and Sources'!C62</f>
        <v>0</v>
      </c>
      <c r="E23" s="64"/>
    </row>
    <row r="24" spans="1:5" ht="63.75" customHeight="1">
      <c r="A24" s="219"/>
      <c r="B24" s="82"/>
      <c r="C24" s="65" t="s">
        <v>199</v>
      </c>
      <c r="D24" s="220"/>
      <c r="E24" s="64"/>
    </row>
    <row r="25" spans="1:5" ht="60.75" customHeight="1" thickBot="1">
      <c r="A25" s="219"/>
      <c r="B25" s="83"/>
      <c r="C25" s="73" t="s">
        <v>180</v>
      </c>
      <c r="D25" s="220"/>
      <c r="E25" s="64"/>
    </row>
    <row r="26" spans="1:5" ht="51" customHeight="1">
      <c r="A26" s="69" t="s">
        <v>200</v>
      </c>
      <c r="B26" s="70">
        <v>0</v>
      </c>
      <c r="C26" s="70"/>
      <c r="D26" s="71"/>
      <c r="E26" s="64"/>
    </row>
    <row r="27" spans="1:5" ht="89.25" customHeight="1">
      <c r="A27" s="84" t="s">
        <v>201</v>
      </c>
      <c r="B27" s="82">
        <v>228.144564</v>
      </c>
      <c r="C27" s="65" t="s">
        <v>202</v>
      </c>
      <c r="D27" s="85">
        <f>B27*('Guidance and Sources'!D19+'Guidance and Sources'!H19)</f>
        <v>16867.615098873961</v>
      </c>
      <c r="E27" s="64"/>
    </row>
    <row r="28" spans="1:5" ht="75" customHeight="1">
      <c r="A28" s="221" t="s">
        <v>203</v>
      </c>
      <c r="B28" s="66">
        <v>5</v>
      </c>
      <c r="C28" s="75" t="s">
        <v>204</v>
      </c>
      <c r="D28" s="222">
        <f>(B28*(('Guidance and Sources'!D12*'Guidance and Sources'!C62)+('Guidance and Sources'!H12*'Guidance and Sources'!C63)))+(B29*(('Guidance and Sources'!D13*'Guidance and Sources'!C62)+('Guidance and Sources'!H13*'Guidance and Sources'!C63)))</f>
        <v>10.930422699999999</v>
      </c>
      <c r="E28" s="64"/>
    </row>
    <row r="29" spans="1:5" ht="105" customHeight="1">
      <c r="A29" s="221"/>
      <c r="B29" s="66"/>
      <c r="C29" s="75" t="s">
        <v>205</v>
      </c>
      <c r="D29" s="222"/>
      <c r="E29" s="64"/>
    </row>
    <row r="30" spans="1:5" ht="55.5" customHeight="1">
      <c r="A30" s="221" t="s">
        <v>206</v>
      </c>
      <c r="B30" s="86">
        <v>5</v>
      </c>
      <c r="C30" s="67" t="s">
        <v>207</v>
      </c>
      <c r="D30" s="223">
        <f>B30*B31*(('Guidance and Sources'!D26*'Guidance and Sources'!C64)+'Guidance and Sources'!H26)</f>
        <v>0</v>
      </c>
      <c r="E30" s="64"/>
    </row>
    <row r="31" spans="1:5" ht="60" customHeight="1">
      <c r="A31" s="221"/>
      <c r="B31" s="87"/>
      <c r="C31" s="88" t="s">
        <v>180</v>
      </c>
      <c r="D31" s="223"/>
      <c r="E31" s="64"/>
    </row>
    <row r="32" spans="1:5" ht="195" customHeight="1" thickBot="1">
      <c r="A32" s="215" t="s">
        <v>208</v>
      </c>
      <c r="B32" s="89">
        <v>10</v>
      </c>
      <c r="C32" s="90" t="s">
        <v>209</v>
      </c>
      <c r="D32" s="91">
        <f>B32*(('Guidance and Sources'!D27*'Guidance and Sources'!C62*1000000)+'Guidance and Sources'!H27)</f>
        <v>9461.3520000000008</v>
      </c>
      <c r="E32" s="92"/>
    </row>
    <row r="33" spans="1:7" ht="29.25" thickBot="1">
      <c r="A33" s="215"/>
      <c r="B33" s="93">
        <v>5</v>
      </c>
      <c r="C33" s="94" t="s">
        <v>210</v>
      </c>
      <c r="D33" s="216">
        <f>B33*B34*(('Guidance and Sources'!D28*'Guidance and Sources'!C62)+'Guidance and Sources'!H28)</f>
        <v>3847.7378057270498</v>
      </c>
      <c r="E33" s="64"/>
    </row>
    <row r="34" spans="1:7" ht="15" thickBot="1">
      <c r="A34" s="215"/>
      <c r="B34" s="95">
        <v>0.5</v>
      </c>
      <c r="C34" s="96" t="s">
        <v>180</v>
      </c>
      <c r="D34" s="216"/>
      <c r="E34" s="64"/>
    </row>
    <row r="35" spans="1:7">
      <c r="A35" s="97"/>
      <c r="B35" s="98"/>
      <c r="C35" s="99"/>
      <c r="D35" s="100"/>
      <c r="E35" s="64"/>
    </row>
    <row r="36" spans="1:7" ht="27">
      <c r="A36" s="101"/>
      <c r="B36" s="98"/>
      <c r="C36" s="102" t="s">
        <v>211</v>
      </c>
      <c r="D36" s="103">
        <f>SUM(D12:D34)+D7+D9</f>
        <v>57892.719628383413</v>
      </c>
      <c r="E36" s="64"/>
    </row>
    <row r="37" spans="1:7">
      <c r="A37" s="101"/>
      <c r="B37" s="104"/>
      <c r="C37" s="105"/>
      <c r="D37" s="106"/>
      <c r="E37" s="64"/>
    </row>
    <row r="38" spans="1:7">
      <c r="A38" s="107" t="s">
        <v>212</v>
      </c>
      <c r="B38" s="108"/>
      <c r="C38" s="108"/>
      <c r="D38" s="108"/>
      <c r="E38" s="64"/>
    </row>
    <row r="39" spans="1:7">
      <c r="A39" s="109"/>
      <c r="B39" s="110"/>
      <c r="C39" s="110"/>
      <c r="D39" s="110"/>
      <c r="E39" s="64"/>
    </row>
    <row r="40" spans="1:7">
      <c r="A40" s="111" t="s">
        <v>213</v>
      </c>
      <c r="B40" s="112"/>
      <c r="C40" s="58"/>
      <c r="D40" s="106"/>
      <c r="E40" s="61"/>
    </row>
    <row r="41" spans="1:7" ht="53.25" customHeight="1">
      <c r="A41" s="217" t="s">
        <v>214</v>
      </c>
      <c r="B41" s="217"/>
      <c r="C41" s="217"/>
      <c r="D41" s="217"/>
      <c r="E41" s="217"/>
    </row>
    <row r="42" spans="1:7" ht="26.25" customHeight="1">
      <c r="A42" s="217" t="s">
        <v>215</v>
      </c>
      <c r="B42" s="217"/>
      <c r="C42" s="217"/>
      <c r="D42" s="217"/>
      <c r="E42" s="217"/>
    </row>
    <row r="43" spans="1:7" ht="39.75" customHeight="1">
      <c r="A43" s="217" t="s">
        <v>216</v>
      </c>
      <c r="B43" s="217"/>
      <c r="C43" s="217"/>
      <c r="D43" s="217"/>
      <c r="E43" s="217"/>
    </row>
    <row r="44" spans="1:7" ht="39.75" customHeight="1">
      <c r="A44" s="218" t="s">
        <v>217</v>
      </c>
      <c r="B44" s="218"/>
      <c r="C44" s="218"/>
      <c r="D44" s="218"/>
      <c r="E44" s="218"/>
    </row>
    <row r="45" spans="1:7">
      <c r="A45" s="109"/>
      <c r="B45" s="110"/>
      <c r="C45" s="113"/>
      <c r="D45" s="114"/>
      <c r="E45" s="64"/>
    </row>
    <row r="46" spans="1:7" ht="12.75" customHeight="1">
      <c r="A46" s="214" t="s">
        <v>218</v>
      </c>
      <c r="B46" s="214"/>
      <c r="C46" s="214"/>
      <c r="D46" s="214"/>
      <c r="E46" s="214"/>
      <c r="G46" s="30"/>
    </row>
    <row r="47" spans="1:7">
      <c r="A47" s="214"/>
      <c r="B47" s="214"/>
      <c r="C47" s="214"/>
      <c r="D47" s="214"/>
      <c r="E47" s="214"/>
      <c r="G47" s="30"/>
    </row>
    <row r="48" spans="1:7">
      <c r="A48" s="214"/>
      <c r="B48" s="214"/>
      <c r="C48" s="214"/>
      <c r="D48" s="214"/>
      <c r="E48" s="214"/>
      <c r="G48" s="30"/>
    </row>
    <row r="49" spans="1:7">
      <c r="A49" s="214"/>
      <c r="B49" s="214"/>
      <c r="C49" s="214"/>
      <c r="D49" s="214"/>
      <c r="E49" s="214"/>
      <c r="G49" s="30"/>
    </row>
    <row r="50" spans="1:7">
      <c r="A50" s="214"/>
      <c r="B50" s="214"/>
      <c r="C50" s="214"/>
      <c r="D50" s="214"/>
      <c r="E50" s="214"/>
      <c r="G50" s="30"/>
    </row>
    <row r="51" spans="1:7">
      <c r="A51" s="214"/>
      <c r="B51" s="214"/>
      <c r="C51" s="214"/>
      <c r="D51" s="214"/>
      <c r="E51" s="214"/>
      <c r="G51" s="30"/>
    </row>
    <row r="52" spans="1:7">
      <c r="A52" s="214"/>
      <c r="B52" s="214"/>
      <c r="C52" s="214"/>
      <c r="D52" s="214"/>
      <c r="E52" s="214"/>
      <c r="G52" s="30"/>
    </row>
    <row r="53" spans="1:7">
      <c r="A53" s="214"/>
      <c r="B53" s="214"/>
      <c r="C53" s="214"/>
      <c r="D53" s="214"/>
      <c r="E53" s="214"/>
      <c r="G53" s="30"/>
    </row>
    <row r="54" spans="1:7">
      <c r="A54" s="214"/>
      <c r="B54" s="214"/>
      <c r="C54" s="214"/>
      <c r="D54" s="214"/>
      <c r="E54" s="214"/>
      <c r="F54" s="30"/>
      <c r="G54" s="30"/>
    </row>
    <row r="55" spans="1:7">
      <c r="A55" s="214"/>
      <c r="B55" s="214"/>
      <c r="C55" s="214"/>
      <c r="D55" s="214"/>
      <c r="E55" s="214"/>
      <c r="F55" s="30"/>
      <c r="G55" s="30"/>
    </row>
    <row r="56" spans="1:7">
      <c r="A56" s="214"/>
      <c r="B56" s="214"/>
      <c r="C56" s="214"/>
      <c r="D56" s="214"/>
      <c r="E56" s="214"/>
      <c r="F56" s="30"/>
      <c r="G56" s="30"/>
    </row>
    <row r="57" spans="1:7">
      <c r="D57" s="22"/>
      <c r="E57" s="22"/>
      <c r="F57" s="30"/>
      <c r="G57" s="30"/>
    </row>
    <row r="58" spans="1:7">
      <c r="D58" s="115"/>
      <c r="E58" s="115"/>
      <c r="F58" s="30"/>
      <c r="G58" s="30"/>
    </row>
    <row r="59" spans="1:7">
      <c r="B59" s="116"/>
      <c r="D59" s="22"/>
      <c r="E59" s="22"/>
      <c r="F59" s="30"/>
      <c r="G59" s="30"/>
    </row>
    <row r="60" spans="1:7">
      <c r="D60" s="22"/>
      <c r="E60" s="22"/>
      <c r="F60" s="30"/>
      <c r="G60" s="30"/>
    </row>
    <row r="61" spans="1:7">
      <c r="D61" s="22"/>
      <c r="E61" s="22"/>
      <c r="F61" s="30"/>
      <c r="G61" s="30"/>
    </row>
    <row r="62" spans="1:7">
      <c r="F62" s="30"/>
      <c r="G62" s="30"/>
    </row>
    <row r="66" spans="1:1">
      <c r="A66" s="116"/>
    </row>
    <row r="69" spans="1:1">
      <c r="A69" s="116"/>
    </row>
    <row r="70" spans="1:1">
      <c r="A70" s="116"/>
    </row>
    <row r="71" spans="1:1">
      <c r="A71" s="116"/>
    </row>
    <row r="72" spans="1:1">
      <c r="A72" s="116"/>
    </row>
    <row r="75" spans="1:1">
      <c r="A75" s="116"/>
    </row>
    <row r="76" spans="1:1">
      <c r="A76" s="116"/>
    </row>
    <row r="77" spans="1:1">
      <c r="A77" s="116"/>
    </row>
    <row r="78" spans="1:1">
      <c r="A78" s="116"/>
    </row>
    <row r="79" spans="1:1">
      <c r="A79" s="116"/>
    </row>
    <row r="80" spans="1:1">
      <c r="A80" s="116"/>
    </row>
    <row r="81" spans="1:1">
      <c r="A81" s="116"/>
    </row>
  </sheetData>
  <sheetProtection algorithmName="SHA-512" hashValue="UBRCFtjBNinnWlNGpbpmEAHm6q9oTm5F7QkfjAkCGYwhLXGBmts8UyLsgtPTPXgoy/wQt69thgMILy6BZ3I5DA==" saltValue="iuRdARKNMhjtyBBiHvFrCQ==" spinCount="100000" sheet="1" objects="1" scenarios="1"/>
  <mergeCells count="26">
    <mergeCell ref="A14:A15"/>
    <mergeCell ref="D14:D15"/>
    <mergeCell ref="A3:E4"/>
    <mergeCell ref="A6:D6"/>
    <mergeCell ref="A9:A10"/>
    <mergeCell ref="D9:D10"/>
    <mergeCell ref="A11:D11"/>
    <mergeCell ref="A16:A17"/>
    <mergeCell ref="D16:D17"/>
    <mergeCell ref="A18:A19"/>
    <mergeCell ref="D18:D19"/>
    <mergeCell ref="B21:B22"/>
    <mergeCell ref="C21:C22"/>
    <mergeCell ref="A23:A25"/>
    <mergeCell ref="D23:D25"/>
    <mergeCell ref="A28:A29"/>
    <mergeCell ref="D28:D29"/>
    <mergeCell ref="A30:A31"/>
    <mergeCell ref="D30:D31"/>
    <mergeCell ref="A46:E56"/>
    <mergeCell ref="A32:A34"/>
    <mergeCell ref="D33:D34"/>
    <mergeCell ref="A41:E41"/>
    <mergeCell ref="A42:E42"/>
    <mergeCell ref="A43:E43"/>
    <mergeCell ref="A44:E44"/>
  </mergeCells>
  <pageMargins left="0.70000000000000007" right="0.70000000000000007" top="1.1437000000000002" bottom="1.1437000000000002" header="0.75000000000000011" footer="0.75000000000000011"/>
  <pageSetup paperSize="0" fitToWidth="0" fitToHeight="0" orientation="portrait" horizontalDpi="0" verticalDpi="0" copies="0"/>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G81"/>
  <sheetViews>
    <sheetView topLeftCell="A4" workbookViewId="0">
      <selection activeCell="B7" sqref="B7"/>
    </sheetView>
  </sheetViews>
  <sheetFormatPr defaultRowHeight="14.25"/>
  <cols>
    <col min="1" max="1" width="36" customWidth="1"/>
    <col min="2" max="2" width="16.25" customWidth="1"/>
    <col min="3" max="3" width="29.75" customWidth="1"/>
    <col min="4" max="4" width="26" customWidth="1"/>
    <col min="5" max="5" width="9" customWidth="1"/>
    <col min="6" max="6" width="8.375" customWidth="1"/>
    <col min="7" max="256" width="8" customWidth="1"/>
    <col min="257" max="257" width="36" customWidth="1"/>
    <col min="258" max="258" width="16.25" customWidth="1"/>
    <col min="259" max="259" width="29.75" customWidth="1"/>
    <col min="260" max="260" width="26" customWidth="1"/>
    <col min="261" max="261" width="9" customWidth="1"/>
    <col min="262" max="262" width="8.375" customWidth="1"/>
    <col min="263" max="512" width="8" customWidth="1"/>
    <col min="513" max="513" width="36" customWidth="1"/>
    <col min="514" max="514" width="16.25" customWidth="1"/>
    <col min="515" max="515" width="29.75" customWidth="1"/>
    <col min="516" max="516" width="26" customWidth="1"/>
    <col min="517" max="517" width="9" customWidth="1"/>
    <col min="518" max="518" width="8.375" customWidth="1"/>
    <col min="519" max="768" width="8" customWidth="1"/>
    <col min="769" max="769" width="36" customWidth="1"/>
    <col min="770" max="770" width="16.25" customWidth="1"/>
    <col min="771" max="771" width="29.75" customWidth="1"/>
    <col min="772" max="772" width="26" customWidth="1"/>
    <col min="773" max="773" width="9" customWidth="1"/>
    <col min="774" max="774" width="8.375" customWidth="1"/>
    <col min="775" max="1024" width="8" customWidth="1"/>
  </cols>
  <sheetData>
    <row r="1" spans="1:5" ht="18">
      <c r="A1" s="57" t="s">
        <v>168</v>
      </c>
      <c r="B1" s="58"/>
      <c r="C1" s="58"/>
      <c r="D1" s="58"/>
      <c r="E1" s="59"/>
    </row>
    <row r="2" spans="1:5" ht="18">
      <c r="A2" s="60">
        <v>40525</v>
      </c>
      <c r="B2" s="58"/>
      <c r="C2" s="58"/>
      <c r="D2" s="58"/>
      <c r="E2" s="61"/>
    </row>
    <row r="3" spans="1:5" ht="12.75" customHeight="1">
      <c r="A3" s="228" t="s">
        <v>169</v>
      </c>
      <c r="B3" s="228"/>
      <c r="C3" s="228"/>
      <c r="D3" s="228"/>
      <c r="E3" s="228"/>
    </row>
    <row r="4" spans="1:5">
      <c r="A4" s="228"/>
      <c r="B4" s="228"/>
      <c r="C4" s="228"/>
      <c r="D4" s="228"/>
      <c r="E4" s="228"/>
    </row>
    <row r="5" spans="1:5" ht="96.75" thickBot="1">
      <c r="A5" s="62" t="s">
        <v>170</v>
      </c>
      <c r="B5" s="62" t="s">
        <v>171</v>
      </c>
      <c r="C5" s="62" t="s">
        <v>172</v>
      </c>
      <c r="D5" s="63" t="s">
        <v>173</v>
      </c>
      <c r="E5" s="61"/>
    </row>
    <row r="6" spans="1:5" ht="15" customHeight="1">
      <c r="A6" s="229" t="s">
        <v>174</v>
      </c>
      <c r="B6" s="229"/>
      <c r="C6" s="229"/>
      <c r="D6" s="229"/>
      <c r="E6" s="64"/>
    </row>
    <row r="7" spans="1:5" ht="105" customHeight="1">
      <c r="A7" s="65" t="s">
        <v>175</v>
      </c>
      <c r="B7" s="66">
        <v>2</v>
      </c>
      <c r="C7" s="67" t="s">
        <v>176</v>
      </c>
      <c r="D7" s="68">
        <f>B7*'Guidance and Sources'!D10*1000*'Guidance and Sources'!C62</f>
        <v>7413.4000000000005</v>
      </c>
      <c r="E7" s="64"/>
    </row>
    <row r="8" spans="1:5" ht="25.5">
      <c r="A8" s="69" t="s">
        <v>177</v>
      </c>
      <c r="B8" s="70"/>
      <c r="C8" s="70"/>
      <c r="D8" s="71"/>
      <c r="E8" s="64"/>
    </row>
    <row r="9" spans="1:5" ht="55.5" customHeight="1" thickBot="1">
      <c r="A9" s="215" t="s">
        <v>178</v>
      </c>
      <c r="B9" s="66">
        <v>2</v>
      </c>
      <c r="C9" s="67" t="s">
        <v>179</v>
      </c>
      <c r="D9" s="230">
        <f>B9*B10*(('Guidance and Sources'!D25*'Guidance and Sources'!C64)+'Guidance and Sources'!H25)</f>
        <v>1821.6281003608001</v>
      </c>
      <c r="E9" s="64"/>
    </row>
    <row r="10" spans="1:5" ht="60.75" customHeight="1" thickBot="1">
      <c r="A10" s="215"/>
      <c r="B10" s="72">
        <v>0.9</v>
      </c>
      <c r="C10" s="73" t="s">
        <v>180</v>
      </c>
      <c r="D10" s="230"/>
      <c r="E10" s="64"/>
    </row>
    <row r="11" spans="1:5" ht="15" customHeight="1">
      <c r="A11" s="231" t="s">
        <v>181</v>
      </c>
      <c r="B11" s="231"/>
      <c r="C11" s="231"/>
      <c r="D11" s="231"/>
      <c r="E11" s="64"/>
    </row>
    <row r="12" spans="1:5" ht="105" customHeight="1">
      <c r="A12" s="74" t="s">
        <v>182</v>
      </c>
      <c r="B12" s="66">
        <v>0</v>
      </c>
      <c r="C12" s="75" t="s">
        <v>183</v>
      </c>
      <c r="D12" s="76">
        <f>B12*'Guidance and Sources'!D9*1000*'Guidance and Sources'!C62</f>
        <v>0</v>
      </c>
      <c r="E12" s="64"/>
    </row>
    <row r="13" spans="1:5" ht="105" customHeight="1">
      <c r="A13" s="65" t="s">
        <v>184</v>
      </c>
      <c r="B13" s="66"/>
      <c r="C13" s="67" t="s">
        <v>185</v>
      </c>
      <c r="D13" s="76">
        <f>B13*'Guidance and Sources'!D11*1000*'Guidance and Sources'!C62</f>
        <v>0</v>
      </c>
      <c r="E13" s="64"/>
    </row>
    <row r="14" spans="1:5" ht="105" customHeight="1">
      <c r="A14" s="219" t="s">
        <v>186</v>
      </c>
      <c r="B14" s="66"/>
      <c r="C14" s="75" t="s">
        <v>187</v>
      </c>
      <c r="D14" s="225">
        <f>(B14*'Guidance and Sources'!D15*'Guidance and Sources'!C62)+(B15*'Guidance and Sources'!D16*'Guidance and Sources'!C62)</f>
        <v>0</v>
      </c>
      <c r="E14" s="64"/>
    </row>
    <row r="15" spans="1:5" ht="60" customHeight="1">
      <c r="A15" s="219"/>
      <c r="B15" s="66"/>
      <c r="C15" s="75" t="s">
        <v>188</v>
      </c>
      <c r="D15" s="225"/>
      <c r="E15" s="64"/>
    </row>
    <row r="16" spans="1:5" ht="90" customHeight="1">
      <c r="A16" s="224" t="s">
        <v>189</v>
      </c>
      <c r="B16" s="66"/>
      <c r="C16" s="75" t="s">
        <v>190</v>
      </c>
      <c r="D16" s="225">
        <f>B16*B17*'Guidance and Sources'!D17*'Guidance and Sources'!C62*365</f>
        <v>0</v>
      </c>
      <c r="E16" s="64"/>
    </row>
    <row r="17" spans="1:5" ht="60.75" customHeight="1" thickBot="1">
      <c r="A17" s="224"/>
      <c r="B17" s="77"/>
      <c r="C17" s="73" t="s">
        <v>180</v>
      </c>
      <c r="D17" s="225"/>
      <c r="E17" s="64"/>
    </row>
    <row r="18" spans="1:5" ht="90" customHeight="1">
      <c r="A18" s="219" t="s">
        <v>191</v>
      </c>
      <c r="B18" s="66"/>
      <c r="C18" s="75" t="s">
        <v>190</v>
      </c>
      <c r="D18" s="225">
        <f>B18*B19*'Guidance and Sources'!D22*1000*'Guidance and Sources'!C62</f>
        <v>0</v>
      </c>
      <c r="E18" s="64"/>
    </row>
    <row r="19" spans="1:5" ht="60.75" customHeight="1" thickBot="1">
      <c r="A19" s="219"/>
      <c r="B19" s="77"/>
      <c r="C19" s="73" t="s">
        <v>180</v>
      </c>
      <c r="D19" s="225"/>
      <c r="E19" s="64"/>
    </row>
    <row r="20" spans="1:5" ht="90" customHeight="1">
      <c r="A20" s="78" t="s">
        <v>192</v>
      </c>
      <c r="B20" s="79"/>
      <c r="C20" s="80" t="s">
        <v>193</v>
      </c>
      <c r="D20" s="81">
        <f>B20*1000*'Guidance and Sources'!D20</f>
        <v>0</v>
      </c>
      <c r="E20" s="64"/>
    </row>
    <row r="21" spans="1:5" ht="102" customHeight="1">
      <c r="A21" s="74" t="s">
        <v>194</v>
      </c>
      <c r="B21" s="226"/>
      <c r="C21" s="227" t="s">
        <v>195</v>
      </c>
      <c r="D21" s="68">
        <f>B21*('Guidance and Sources'!D7+'Guidance and Sources'!D8)*365*'Guidance and Sources'!C62</f>
        <v>0</v>
      </c>
      <c r="E21" s="64"/>
    </row>
    <row r="22" spans="1:5" ht="76.5" customHeight="1">
      <c r="A22" s="74" t="s">
        <v>196</v>
      </c>
      <c r="B22" s="226"/>
      <c r="C22" s="227"/>
      <c r="D22" s="68">
        <f>B21*'Guidance and Sources'!D23</f>
        <v>0</v>
      </c>
      <c r="E22" s="64"/>
    </row>
    <row r="23" spans="1:5" ht="75" customHeight="1">
      <c r="A23" s="219" t="s">
        <v>197</v>
      </c>
      <c r="B23" s="82"/>
      <c r="C23" s="75" t="s">
        <v>198</v>
      </c>
      <c r="D23" s="220">
        <f>B23*B24*25*1000*'Guidance and Sources'!C62</f>
        <v>0</v>
      </c>
      <c r="E23" s="64"/>
    </row>
    <row r="24" spans="1:5" ht="63.75" customHeight="1">
      <c r="A24" s="219"/>
      <c r="B24" s="82"/>
      <c r="C24" s="65" t="s">
        <v>199</v>
      </c>
      <c r="D24" s="220"/>
      <c r="E24" s="64"/>
    </row>
    <row r="25" spans="1:5" ht="60.75" customHeight="1" thickBot="1">
      <c r="A25" s="219"/>
      <c r="B25" s="83"/>
      <c r="C25" s="73" t="s">
        <v>180</v>
      </c>
      <c r="D25" s="220"/>
      <c r="E25" s="64"/>
    </row>
    <row r="26" spans="1:5" ht="51" customHeight="1">
      <c r="A26" s="69" t="s">
        <v>200</v>
      </c>
      <c r="B26" s="70">
        <v>0</v>
      </c>
      <c r="C26" s="70"/>
      <c r="D26" s="71"/>
      <c r="E26" s="64"/>
    </row>
    <row r="27" spans="1:5" ht="89.25" customHeight="1">
      <c r="A27" s="84" t="s">
        <v>201</v>
      </c>
      <c r="B27" s="82">
        <v>228.144564</v>
      </c>
      <c r="C27" s="65" t="s">
        <v>202</v>
      </c>
      <c r="D27" s="85">
        <f>B27*('Guidance and Sources'!D19+'Guidance and Sources'!H19)</f>
        <v>16867.615098873961</v>
      </c>
      <c r="E27" s="64"/>
    </row>
    <row r="28" spans="1:5" ht="75" customHeight="1">
      <c r="A28" s="221" t="s">
        <v>203</v>
      </c>
      <c r="B28" s="66">
        <v>5</v>
      </c>
      <c r="C28" s="75" t="s">
        <v>204</v>
      </c>
      <c r="D28" s="222">
        <f>(B28*(('Guidance and Sources'!D12*'Guidance and Sources'!C62)+('Guidance and Sources'!H12*'Guidance and Sources'!C63)))+(B29*(('Guidance and Sources'!D13*'Guidance and Sources'!C62)+('Guidance and Sources'!H13*'Guidance and Sources'!C63)))</f>
        <v>10.930422699999999</v>
      </c>
      <c r="E28" s="64"/>
    </row>
    <row r="29" spans="1:5" ht="105" customHeight="1">
      <c r="A29" s="221"/>
      <c r="B29" s="66"/>
      <c r="C29" s="75" t="s">
        <v>205</v>
      </c>
      <c r="D29" s="222"/>
      <c r="E29" s="64"/>
    </row>
    <row r="30" spans="1:5" ht="55.5" customHeight="1">
      <c r="A30" s="221" t="s">
        <v>206</v>
      </c>
      <c r="B30" s="86">
        <v>5</v>
      </c>
      <c r="C30" s="67" t="s">
        <v>207</v>
      </c>
      <c r="D30" s="223">
        <f>B30*B31*(('Guidance and Sources'!D26*'Guidance and Sources'!C64)+'Guidance and Sources'!H26)</f>
        <v>0</v>
      </c>
      <c r="E30" s="64"/>
    </row>
    <row r="31" spans="1:5" ht="60" customHeight="1">
      <c r="A31" s="221"/>
      <c r="B31" s="87"/>
      <c r="C31" s="88" t="s">
        <v>180</v>
      </c>
      <c r="D31" s="223"/>
      <c r="E31" s="64"/>
    </row>
    <row r="32" spans="1:5" ht="195" customHeight="1" thickBot="1">
      <c r="A32" s="215" t="s">
        <v>208</v>
      </c>
      <c r="B32" s="89">
        <v>10</v>
      </c>
      <c r="C32" s="90" t="s">
        <v>209</v>
      </c>
      <c r="D32" s="91">
        <f>B32*(('Guidance and Sources'!D27*'Guidance and Sources'!C62*1000000)+'Guidance and Sources'!H27)</f>
        <v>9461.3520000000008</v>
      </c>
      <c r="E32" s="92"/>
    </row>
    <row r="33" spans="1:7" ht="29.25" thickBot="1">
      <c r="A33" s="215"/>
      <c r="B33" s="93">
        <v>5</v>
      </c>
      <c r="C33" s="94" t="s">
        <v>210</v>
      </c>
      <c r="D33" s="216">
        <f>B33*B34*(('Guidance and Sources'!D28*'Guidance and Sources'!C62)+'Guidance and Sources'!H28)</f>
        <v>3847.7378057270498</v>
      </c>
      <c r="E33" s="64"/>
    </row>
    <row r="34" spans="1:7" ht="15" thickBot="1">
      <c r="A34" s="215"/>
      <c r="B34" s="95">
        <v>0.5</v>
      </c>
      <c r="C34" s="96" t="s">
        <v>180</v>
      </c>
      <c r="D34" s="216"/>
      <c r="E34" s="64"/>
    </row>
    <row r="35" spans="1:7">
      <c r="A35" s="97"/>
      <c r="B35" s="98"/>
      <c r="C35" s="99"/>
      <c r="D35" s="100"/>
      <c r="E35" s="64"/>
    </row>
    <row r="36" spans="1:7" ht="27">
      <c r="A36" s="101"/>
      <c r="B36" s="98"/>
      <c r="C36" s="102" t="s">
        <v>211</v>
      </c>
      <c r="D36" s="103">
        <f>SUM(D12:D34)+D7+D9</f>
        <v>39422.663427661813</v>
      </c>
      <c r="E36" s="64"/>
    </row>
    <row r="37" spans="1:7">
      <c r="A37" s="101"/>
      <c r="B37" s="104"/>
      <c r="C37" s="105"/>
      <c r="D37" s="106"/>
      <c r="E37" s="64"/>
    </row>
    <row r="38" spans="1:7">
      <c r="A38" s="107" t="s">
        <v>212</v>
      </c>
      <c r="B38" s="108"/>
      <c r="C38" s="108"/>
      <c r="D38" s="108"/>
      <c r="E38" s="64"/>
    </row>
    <row r="39" spans="1:7">
      <c r="A39" s="109"/>
      <c r="B39" s="110"/>
      <c r="C39" s="110"/>
      <c r="D39" s="110"/>
      <c r="E39" s="64"/>
    </row>
    <row r="40" spans="1:7">
      <c r="A40" s="111" t="s">
        <v>213</v>
      </c>
      <c r="B40" s="112"/>
      <c r="C40" s="58"/>
      <c r="D40" s="106"/>
      <c r="E40" s="61"/>
    </row>
    <row r="41" spans="1:7" ht="53.25" customHeight="1">
      <c r="A41" s="217" t="s">
        <v>214</v>
      </c>
      <c r="B41" s="217"/>
      <c r="C41" s="217"/>
      <c r="D41" s="217"/>
      <c r="E41" s="217"/>
    </row>
    <row r="42" spans="1:7" ht="26.25" customHeight="1">
      <c r="A42" s="217" t="s">
        <v>215</v>
      </c>
      <c r="B42" s="217"/>
      <c r="C42" s="217"/>
      <c r="D42" s="217"/>
      <c r="E42" s="217"/>
    </row>
    <row r="43" spans="1:7" ht="39.75" customHeight="1">
      <c r="A43" s="217" t="s">
        <v>216</v>
      </c>
      <c r="B43" s="217"/>
      <c r="C43" s="217"/>
      <c r="D43" s="217"/>
      <c r="E43" s="217"/>
    </row>
    <row r="44" spans="1:7" ht="39.75" customHeight="1">
      <c r="A44" s="218" t="s">
        <v>217</v>
      </c>
      <c r="B44" s="218"/>
      <c r="C44" s="218"/>
      <c r="D44" s="218"/>
      <c r="E44" s="218"/>
    </row>
    <row r="45" spans="1:7">
      <c r="A45" s="109"/>
      <c r="B45" s="110"/>
      <c r="C45" s="113"/>
      <c r="D45" s="114"/>
      <c r="E45" s="64"/>
    </row>
    <row r="46" spans="1:7" ht="12.75" customHeight="1">
      <c r="A46" s="214" t="s">
        <v>218</v>
      </c>
      <c r="B46" s="214"/>
      <c r="C46" s="214"/>
      <c r="D46" s="214"/>
      <c r="E46" s="214"/>
      <c r="G46" s="30"/>
    </row>
    <row r="47" spans="1:7">
      <c r="A47" s="214"/>
      <c r="B47" s="214"/>
      <c r="C47" s="214"/>
      <c r="D47" s="214"/>
      <c r="E47" s="214"/>
      <c r="G47" s="30"/>
    </row>
    <row r="48" spans="1:7">
      <c r="A48" s="214"/>
      <c r="B48" s="214"/>
      <c r="C48" s="214"/>
      <c r="D48" s="214"/>
      <c r="E48" s="214"/>
      <c r="G48" s="30"/>
    </row>
    <row r="49" spans="1:7">
      <c r="A49" s="214"/>
      <c r="B49" s="214"/>
      <c r="C49" s="214"/>
      <c r="D49" s="214"/>
      <c r="E49" s="214"/>
      <c r="G49" s="30"/>
    </row>
    <row r="50" spans="1:7">
      <c r="A50" s="214"/>
      <c r="B50" s="214"/>
      <c r="C50" s="214"/>
      <c r="D50" s="214"/>
      <c r="E50" s="214"/>
      <c r="G50" s="30"/>
    </row>
    <row r="51" spans="1:7">
      <c r="A51" s="214"/>
      <c r="B51" s="214"/>
      <c r="C51" s="214"/>
      <c r="D51" s="214"/>
      <c r="E51" s="214"/>
      <c r="G51" s="30"/>
    </row>
    <row r="52" spans="1:7">
      <c r="A52" s="214"/>
      <c r="B52" s="214"/>
      <c r="C52" s="214"/>
      <c r="D52" s="214"/>
      <c r="E52" s="214"/>
      <c r="G52" s="30"/>
    </row>
    <row r="53" spans="1:7">
      <c r="A53" s="214"/>
      <c r="B53" s="214"/>
      <c r="C53" s="214"/>
      <c r="D53" s="214"/>
      <c r="E53" s="214"/>
      <c r="G53" s="30"/>
    </row>
    <row r="54" spans="1:7">
      <c r="A54" s="214"/>
      <c r="B54" s="214"/>
      <c r="C54" s="214"/>
      <c r="D54" s="214"/>
      <c r="E54" s="214"/>
      <c r="F54" s="30"/>
      <c r="G54" s="30"/>
    </row>
    <row r="55" spans="1:7">
      <c r="A55" s="214"/>
      <c r="B55" s="214"/>
      <c r="C55" s="214"/>
      <c r="D55" s="214"/>
      <c r="E55" s="214"/>
      <c r="F55" s="30"/>
      <c r="G55" s="30"/>
    </row>
    <row r="56" spans="1:7">
      <c r="A56" s="214"/>
      <c r="B56" s="214"/>
      <c r="C56" s="214"/>
      <c r="D56" s="214"/>
      <c r="E56" s="214"/>
      <c r="F56" s="30"/>
      <c r="G56" s="30"/>
    </row>
    <row r="57" spans="1:7">
      <c r="D57" s="22"/>
      <c r="E57" s="22"/>
      <c r="F57" s="30"/>
      <c r="G57" s="30"/>
    </row>
    <row r="58" spans="1:7">
      <c r="D58" s="115"/>
      <c r="E58" s="115"/>
      <c r="F58" s="30"/>
      <c r="G58" s="30"/>
    </row>
    <row r="59" spans="1:7">
      <c r="B59" s="116"/>
      <c r="D59" s="22"/>
      <c r="E59" s="22"/>
      <c r="F59" s="30"/>
      <c r="G59" s="30"/>
    </row>
    <row r="60" spans="1:7">
      <c r="D60" s="22"/>
      <c r="E60" s="22"/>
      <c r="F60" s="30"/>
      <c r="G60" s="30"/>
    </row>
    <row r="61" spans="1:7">
      <c r="D61" s="22"/>
      <c r="E61" s="22"/>
      <c r="F61" s="30"/>
      <c r="G61" s="30"/>
    </row>
    <row r="62" spans="1:7">
      <c r="F62" s="30"/>
      <c r="G62" s="30"/>
    </row>
    <row r="66" spans="1:1">
      <c r="A66" s="116"/>
    </row>
    <row r="69" spans="1:1">
      <c r="A69" s="116"/>
    </row>
    <row r="70" spans="1:1">
      <c r="A70" s="116"/>
    </row>
    <row r="71" spans="1:1">
      <c r="A71" s="116"/>
    </row>
    <row r="72" spans="1:1">
      <c r="A72" s="116"/>
    </row>
    <row r="75" spans="1:1">
      <c r="A75" s="116"/>
    </row>
    <row r="76" spans="1:1">
      <c r="A76" s="116"/>
    </row>
    <row r="77" spans="1:1">
      <c r="A77" s="116"/>
    </row>
    <row r="78" spans="1:1">
      <c r="A78" s="116"/>
    </row>
    <row r="79" spans="1:1">
      <c r="A79" s="116"/>
    </row>
    <row r="80" spans="1:1">
      <c r="A80" s="116"/>
    </row>
    <row r="81" spans="1:1">
      <c r="A81" s="116"/>
    </row>
  </sheetData>
  <sheetProtection algorithmName="SHA-512" hashValue="OWHsXtwWqzdLmvT/DNy1CVK8D+lfRxmrlDnp12reknjjI4yKE+sbYJckpOUudy3A1yv9HRJkljN+RoVCHnO07A==" saltValue="iAiLYxp/cBDZjPjd7w8V0g==" spinCount="100000" sheet="1" objects="1" scenarios="1"/>
  <mergeCells count="26">
    <mergeCell ref="A14:A15"/>
    <mergeCell ref="D14:D15"/>
    <mergeCell ref="A3:E4"/>
    <mergeCell ref="A6:D6"/>
    <mergeCell ref="A9:A10"/>
    <mergeCell ref="D9:D10"/>
    <mergeCell ref="A11:D11"/>
    <mergeCell ref="A16:A17"/>
    <mergeCell ref="D16:D17"/>
    <mergeCell ref="A18:A19"/>
    <mergeCell ref="D18:D19"/>
    <mergeCell ref="B21:B22"/>
    <mergeCell ref="C21:C22"/>
    <mergeCell ref="A23:A25"/>
    <mergeCell ref="D23:D25"/>
    <mergeCell ref="A28:A29"/>
    <mergeCell ref="D28:D29"/>
    <mergeCell ref="A30:A31"/>
    <mergeCell ref="D30:D31"/>
    <mergeCell ref="A46:E56"/>
    <mergeCell ref="A32:A34"/>
    <mergeCell ref="D33:D34"/>
    <mergeCell ref="A41:E41"/>
    <mergeCell ref="A42:E42"/>
    <mergeCell ref="A43:E43"/>
    <mergeCell ref="A44:E44"/>
  </mergeCells>
  <pageMargins left="0.70000000000000007" right="0.70000000000000007" top="1.1437000000000002" bottom="1.1437000000000002" header="0.75000000000000011" footer="0.75000000000000011"/>
  <pageSetup paperSize="0" fitToWidth="0" fitToHeight="0" orientation="portrait" horizontalDpi="0" verticalDpi="0" copies="0"/>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G81"/>
  <sheetViews>
    <sheetView workbookViewId="0">
      <selection activeCell="B10" sqref="B10"/>
    </sheetView>
  </sheetViews>
  <sheetFormatPr defaultRowHeight="14.25"/>
  <cols>
    <col min="1" max="1" width="36" customWidth="1"/>
    <col min="2" max="2" width="16.25" customWidth="1"/>
    <col min="3" max="3" width="29.75" customWidth="1"/>
    <col min="4" max="4" width="26" customWidth="1"/>
    <col min="5" max="5" width="9" customWidth="1"/>
    <col min="6" max="6" width="8.375" customWidth="1"/>
    <col min="7" max="256" width="8" customWidth="1"/>
    <col min="257" max="257" width="36" customWidth="1"/>
    <col min="258" max="258" width="16.25" customWidth="1"/>
    <col min="259" max="259" width="29.75" customWidth="1"/>
    <col min="260" max="260" width="26" customWidth="1"/>
    <col min="261" max="261" width="9" customWidth="1"/>
    <col min="262" max="262" width="8.375" customWidth="1"/>
    <col min="263" max="512" width="8" customWidth="1"/>
    <col min="513" max="513" width="36" customWidth="1"/>
    <col min="514" max="514" width="16.25" customWidth="1"/>
    <col min="515" max="515" width="29.75" customWidth="1"/>
    <col min="516" max="516" width="26" customWidth="1"/>
    <col min="517" max="517" width="9" customWidth="1"/>
    <col min="518" max="518" width="8.375" customWidth="1"/>
    <col min="519" max="768" width="8" customWidth="1"/>
    <col min="769" max="769" width="36" customWidth="1"/>
    <col min="770" max="770" width="16.25" customWidth="1"/>
    <col min="771" max="771" width="29.75" customWidth="1"/>
    <col min="772" max="772" width="26" customWidth="1"/>
    <col min="773" max="773" width="9" customWidth="1"/>
    <col min="774" max="774" width="8.375" customWidth="1"/>
    <col min="775" max="1024" width="8" customWidth="1"/>
  </cols>
  <sheetData>
    <row r="1" spans="1:5" ht="18">
      <c r="A1" s="57" t="s">
        <v>168</v>
      </c>
      <c r="B1" s="58"/>
      <c r="C1" s="58"/>
      <c r="D1" s="58"/>
      <c r="E1" s="59"/>
    </row>
    <row r="2" spans="1:5" ht="18">
      <c r="A2" s="60">
        <v>40525</v>
      </c>
      <c r="B2" s="58"/>
      <c r="C2" s="58"/>
      <c r="D2" s="58"/>
      <c r="E2" s="61"/>
    </row>
    <row r="3" spans="1:5" ht="12.75" customHeight="1">
      <c r="A3" s="228" t="s">
        <v>169</v>
      </c>
      <c r="B3" s="228"/>
      <c r="C3" s="228"/>
      <c r="D3" s="228"/>
      <c r="E3" s="228"/>
    </row>
    <row r="4" spans="1:5">
      <c r="A4" s="228"/>
      <c r="B4" s="228"/>
      <c r="C4" s="228"/>
      <c r="D4" s="228"/>
      <c r="E4" s="228"/>
    </row>
    <row r="5" spans="1:5" ht="96.75" thickBot="1">
      <c r="A5" s="62" t="s">
        <v>170</v>
      </c>
      <c r="B5" s="62" t="s">
        <v>171</v>
      </c>
      <c r="C5" s="62" t="s">
        <v>172</v>
      </c>
      <c r="D5" s="63" t="s">
        <v>173</v>
      </c>
      <c r="E5" s="61"/>
    </row>
    <row r="6" spans="1:5" ht="15" customHeight="1">
      <c r="A6" s="229" t="s">
        <v>174</v>
      </c>
      <c r="B6" s="229"/>
      <c r="C6" s="229"/>
      <c r="D6" s="229"/>
      <c r="E6" s="64"/>
    </row>
    <row r="7" spans="1:5" ht="105" customHeight="1">
      <c r="A7" s="65" t="s">
        <v>175</v>
      </c>
      <c r="B7" s="66">
        <v>4</v>
      </c>
      <c r="C7" s="67" t="s">
        <v>176</v>
      </c>
      <c r="D7" s="68">
        <f>B7*'Guidance and Sources'!D10*1000*'Guidance and Sources'!C62</f>
        <v>14826.800000000001</v>
      </c>
      <c r="E7" s="64"/>
    </row>
    <row r="8" spans="1:5" ht="25.5">
      <c r="A8" s="69" t="s">
        <v>177</v>
      </c>
      <c r="B8" s="70"/>
      <c r="C8" s="70"/>
      <c r="D8" s="71"/>
      <c r="E8" s="64"/>
    </row>
    <row r="9" spans="1:5" ht="55.5" customHeight="1" thickBot="1">
      <c r="A9" s="215" t="s">
        <v>178</v>
      </c>
      <c r="B9" s="66">
        <v>4</v>
      </c>
      <c r="C9" s="67" t="s">
        <v>179</v>
      </c>
      <c r="D9" s="230">
        <f>B9*B10*(('Guidance and Sources'!D25*'Guidance and Sources'!C64)+'Guidance and Sources'!H25)</f>
        <v>3643.2562007216002</v>
      </c>
      <c r="E9" s="64"/>
    </row>
    <row r="10" spans="1:5" ht="60.75" customHeight="1" thickBot="1">
      <c r="A10" s="215"/>
      <c r="B10" s="72">
        <v>0.9</v>
      </c>
      <c r="C10" s="73" t="s">
        <v>180</v>
      </c>
      <c r="D10" s="230"/>
      <c r="E10" s="64"/>
    </row>
    <row r="11" spans="1:5" ht="15" customHeight="1">
      <c r="A11" s="231" t="s">
        <v>181</v>
      </c>
      <c r="B11" s="231"/>
      <c r="C11" s="231"/>
      <c r="D11" s="231"/>
      <c r="E11" s="64"/>
    </row>
    <row r="12" spans="1:5" ht="105" customHeight="1">
      <c r="A12" s="74" t="s">
        <v>182</v>
      </c>
      <c r="B12" s="66">
        <v>0</v>
      </c>
      <c r="C12" s="75" t="s">
        <v>183</v>
      </c>
      <c r="D12" s="76">
        <f>B12*'Guidance and Sources'!D9*1000*'Guidance and Sources'!C62</f>
        <v>0</v>
      </c>
      <c r="E12" s="64"/>
    </row>
    <row r="13" spans="1:5" ht="105" customHeight="1">
      <c r="A13" s="65" t="s">
        <v>184</v>
      </c>
      <c r="B13" s="66"/>
      <c r="C13" s="67" t="s">
        <v>185</v>
      </c>
      <c r="D13" s="76">
        <f>B13*'Guidance and Sources'!D11*1000*'Guidance and Sources'!C62</f>
        <v>0</v>
      </c>
      <c r="E13" s="64"/>
    </row>
    <row r="14" spans="1:5" ht="105" customHeight="1">
      <c r="A14" s="219" t="s">
        <v>186</v>
      </c>
      <c r="B14" s="66"/>
      <c r="C14" s="75" t="s">
        <v>187</v>
      </c>
      <c r="D14" s="225">
        <f>(B14*'Guidance and Sources'!D15*'Guidance and Sources'!C62)+(B15*'Guidance and Sources'!D16*'Guidance and Sources'!C62)</f>
        <v>0</v>
      </c>
      <c r="E14" s="64"/>
    </row>
    <row r="15" spans="1:5" ht="60" customHeight="1">
      <c r="A15" s="219"/>
      <c r="B15" s="66"/>
      <c r="C15" s="75" t="s">
        <v>188</v>
      </c>
      <c r="D15" s="225"/>
      <c r="E15" s="64"/>
    </row>
    <row r="16" spans="1:5" ht="90" customHeight="1">
      <c r="A16" s="224" t="s">
        <v>189</v>
      </c>
      <c r="B16" s="66"/>
      <c r="C16" s="75" t="s">
        <v>190</v>
      </c>
      <c r="D16" s="225">
        <f>B16*B17*'Guidance and Sources'!D17*'Guidance and Sources'!C62*365</f>
        <v>0</v>
      </c>
      <c r="E16" s="64"/>
    </row>
    <row r="17" spans="1:5" ht="60.75" customHeight="1" thickBot="1">
      <c r="A17" s="224"/>
      <c r="B17" s="77"/>
      <c r="C17" s="73" t="s">
        <v>180</v>
      </c>
      <c r="D17" s="225"/>
      <c r="E17" s="64"/>
    </row>
    <row r="18" spans="1:5" ht="90" customHeight="1">
      <c r="A18" s="219" t="s">
        <v>191</v>
      </c>
      <c r="B18" s="66"/>
      <c r="C18" s="75" t="s">
        <v>190</v>
      </c>
      <c r="D18" s="225">
        <f>B18*B19*'Guidance and Sources'!D22*1000*'Guidance and Sources'!C62</f>
        <v>0</v>
      </c>
      <c r="E18" s="64"/>
    </row>
    <row r="19" spans="1:5" ht="60.75" customHeight="1" thickBot="1">
      <c r="A19" s="219"/>
      <c r="B19" s="77"/>
      <c r="C19" s="73" t="s">
        <v>180</v>
      </c>
      <c r="D19" s="225"/>
      <c r="E19" s="64"/>
    </row>
    <row r="20" spans="1:5" ht="90" customHeight="1">
      <c r="A20" s="78" t="s">
        <v>192</v>
      </c>
      <c r="B20" s="79"/>
      <c r="C20" s="80" t="s">
        <v>193</v>
      </c>
      <c r="D20" s="81">
        <f>B20*1000*'Guidance and Sources'!D20</f>
        <v>0</v>
      </c>
      <c r="E20" s="64"/>
    </row>
    <row r="21" spans="1:5" ht="102" customHeight="1">
      <c r="A21" s="74" t="s">
        <v>194</v>
      </c>
      <c r="B21" s="226"/>
      <c r="C21" s="227" t="s">
        <v>195</v>
      </c>
      <c r="D21" s="68">
        <f>B21*('Guidance and Sources'!D7+'Guidance and Sources'!D8)*365*'Guidance and Sources'!C62</f>
        <v>0</v>
      </c>
      <c r="E21" s="64"/>
    </row>
    <row r="22" spans="1:5" ht="76.5" customHeight="1">
      <c r="A22" s="74" t="s">
        <v>196</v>
      </c>
      <c r="B22" s="226"/>
      <c r="C22" s="227"/>
      <c r="D22" s="68">
        <f>B21*'Guidance and Sources'!D23</f>
        <v>0</v>
      </c>
      <c r="E22" s="64"/>
    </row>
    <row r="23" spans="1:5" ht="75" customHeight="1">
      <c r="A23" s="219" t="s">
        <v>197</v>
      </c>
      <c r="B23" s="82"/>
      <c r="C23" s="75" t="s">
        <v>198</v>
      </c>
      <c r="D23" s="220">
        <f>B23*B24*25*1000*'Guidance and Sources'!C62</f>
        <v>0</v>
      </c>
      <c r="E23" s="64"/>
    </row>
    <row r="24" spans="1:5" ht="63.75" customHeight="1">
      <c r="A24" s="219"/>
      <c r="B24" s="82"/>
      <c r="C24" s="65" t="s">
        <v>199</v>
      </c>
      <c r="D24" s="220"/>
      <c r="E24" s="64"/>
    </row>
    <row r="25" spans="1:5" ht="60.75" customHeight="1" thickBot="1">
      <c r="A25" s="219"/>
      <c r="B25" s="83"/>
      <c r="C25" s="73" t="s">
        <v>180</v>
      </c>
      <c r="D25" s="220"/>
      <c r="E25" s="64"/>
    </row>
    <row r="26" spans="1:5" ht="51" customHeight="1">
      <c r="A26" s="69" t="s">
        <v>200</v>
      </c>
      <c r="B26" s="70">
        <v>0</v>
      </c>
      <c r="C26" s="70"/>
      <c r="D26" s="71"/>
      <c r="E26" s="64"/>
    </row>
    <row r="27" spans="1:5" ht="89.25" customHeight="1">
      <c r="A27" s="84" t="s">
        <v>201</v>
      </c>
      <c r="B27" s="82">
        <v>228.144564</v>
      </c>
      <c r="C27" s="65" t="s">
        <v>202</v>
      </c>
      <c r="D27" s="85">
        <f>B27*('Guidance and Sources'!D19+'Guidance and Sources'!H19)</f>
        <v>16867.615098873961</v>
      </c>
      <c r="E27" s="64"/>
    </row>
    <row r="28" spans="1:5" ht="75" customHeight="1">
      <c r="A28" s="221" t="s">
        <v>203</v>
      </c>
      <c r="B28" s="66">
        <v>5</v>
      </c>
      <c r="C28" s="75" t="s">
        <v>204</v>
      </c>
      <c r="D28" s="222">
        <f>(B28*(('Guidance and Sources'!D12*'Guidance and Sources'!C62)+('Guidance and Sources'!H12*'Guidance and Sources'!C63)))+(B29*(('Guidance and Sources'!D13*'Guidance and Sources'!C62)+('Guidance and Sources'!H13*'Guidance and Sources'!C63)))</f>
        <v>10.930422699999999</v>
      </c>
      <c r="E28" s="64"/>
    </row>
    <row r="29" spans="1:5" ht="105" customHeight="1">
      <c r="A29" s="221"/>
      <c r="B29" s="66"/>
      <c r="C29" s="75" t="s">
        <v>205</v>
      </c>
      <c r="D29" s="222"/>
      <c r="E29" s="64"/>
    </row>
    <row r="30" spans="1:5" ht="55.5" customHeight="1">
      <c r="A30" s="221" t="s">
        <v>206</v>
      </c>
      <c r="B30" s="86">
        <v>5</v>
      </c>
      <c r="C30" s="67" t="s">
        <v>207</v>
      </c>
      <c r="D30" s="223">
        <f>B30*B31*(('Guidance and Sources'!D26*'Guidance and Sources'!C64)+'Guidance and Sources'!H26)</f>
        <v>0</v>
      </c>
      <c r="E30" s="64"/>
    </row>
    <row r="31" spans="1:5" ht="60" customHeight="1">
      <c r="A31" s="221"/>
      <c r="B31" s="87"/>
      <c r="C31" s="88" t="s">
        <v>180</v>
      </c>
      <c r="D31" s="223"/>
      <c r="E31" s="64"/>
    </row>
    <row r="32" spans="1:5" ht="195" customHeight="1" thickBot="1">
      <c r="A32" s="215" t="s">
        <v>208</v>
      </c>
      <c r="B32" s="89">
        <v>10</v>
      </c>
      <c r="C32" s="90" t="s">
        <v>209</v>
      </c>
      <c r="D32" s="91">
        <f>B32*(('Guidance and Sources'!D27*'Guidance and Sources'!C62*1000000)+'Guidance and Sources'!H27)</f>
        <v>9461.3520000000008</v>
      </c>
      <c r="E32" s="92"/>
    </row>
    <row r="33" spans="1:7" ht="29.25" thickBot="1">
      <c r="A33" s="215"/>
      <c r="B33" s="93">
        <v>5</v>
      </c>
      <c r="C33" s="94" t="s">
        <v>210</v>
      </c>
      <c r="D33" s="216">
        <f>B33*B34*(('Guidance and Sources'!D28*'Guidance and Sources'!C62)+'Guidance and Sources'!H28)</f>
        <v>3847.7378057270498</v>
      </c>
      <c r="E33" s="64"/>
    </row>
    <row r="34" spans="1:7" ht="15" thickBot="1">
      <c r="A34" s="215"/>
      <c r="B34" s="95">
        <v>0.5</v>
      </c>
      <c r="C34" s="96" t="s">
        <v>180</v>
      </c>
      <c r="D34" s="216"/>
      <c r="E34" s="64"/>
    </row>
    <row r="35" spans="1:7">
      <c r="A35" s="97"/>
      <c r="B35" s="98"/>
      <c r="C35" s="99"/>
      <c r="D35" s="100"/>
      <c r="E35" s="64"/>
    </row>
    <row r="36" spans="1:7" ht="27">
      <c r="A36" s="101"/>
      <c r="B36" s="98"/>
      <c r="C36" s="102" t="s">
        <v>211</v>
      </c>
      <c r="D36" s="103">
        <f>SUM(D12:D34)+D7+D9</f>
        <v>48657.691528022609</v>
      </c>
      <c r="E36" s="64"/>
    </row>
    <row r="37" spans="1:7">
      <c r="A37" s="101"/>
      <c r="B37" s="104"/>
      <c r="C37" s="105"/>
      <c r="D37" s="106"/>
      <c r="E37" s="64"/>
    </row>
    <row r="38" spans="1:7">
      <c r="A38" s="107" t="s">
        <v>212</v>
      </c>
      <c r="B38" s="108"/>
      <c r="C38" s="108"/>
      <c r="D38" s="108"/>
      <c r="E38" s="64"/>
    </row>
    <row r="39" spans="1:7">
      <c r="A39" s="109"/>
      <c r="B39" s="110"/>
      <c r="C39" s="110"/>
      <c r="D39" s="110"/>
      <c r="E39" s="64"/>
    </row>
    <row r="40" spans="1:7">
      <c r="A40" s="111" t="s">
        <v>213</v>
      </c>
      <c r="B40" s="112"/>
      <c r="C40" s="58"/>
      <c r="D40" s="106"/>
      <c r="E40" s="61"/>
    </row>
    <row r="41" spans="1:7" ht="53.25" customHeight="1">
      <c r="A41" s="217" t="s">
        <v>214</v>
      </c>
      <c r="B41" s="217"/>
      <c r="C41" s="217"/>
      <c r="D41" s="217"/>
      <c r="E41" s="217"/>
    </row>
    <row r="42" spans="1:7" ht="26.25" customHeight="1">
      <c r="A42" s="217" t="s">
        <v>215</v>
      </c>
      <c r="B42" s="217"/>
      <c r="C42" s="217"/>
      <c r="D42" s="217"/>
      <c r="E42" s="217"/>
    </row>
    <row r="43" spans="1:7" ht="39.75" customHeight="1">
      <c r="A43" s="217" t="s">
        <v>216</v>
      </c>
      <c r="B43" s="217"/>
      <c r="C43" s="217"/>
      <c r="D43" s="217"/>
      <c r="E43" s="217"/>
    </row>
    <row r="44" spans="1:7" ht="39.75" customHeight="1">
      <c r="A44" s="218" t="s">
        <v>217</v>
      </c>
      <c r="B44" s="218"/>
      <c r="C44" s="218"/>
      <c r="D44" s="218"/>
      <c r="E44" s="218"/>
    </row>
    <row r="45" spans="1:7">
      <c r="A45" s="109"/>
      <c r="B45" s="110"/>
      <c r="C45" s="113"/>
      <c r="D45" s="114"/>
      <c r="E45" s="64"/>
    </row>
    <row r="46" spans="1:7" ht="12.75" customHeight="1">
      <c r="A46" s="214" t="s">
        <v>218</v>
      </c>
      <c r="B46" s="214"/>
      <c r="C46" s="214"/>
      <c r="D46" s="214"/>
      <c r="E46" s="214"/>
      <c r="G46" s="30"/>
    </row>
    <row r="47" spans="1:7">
      <c r="A47" s="214"/>
      <c r="B47" s="214"/>
      <c r="C47" s="214"/>
      <c r="D47" s="214"/>
      <c r="E47" s="214"/>
      <c r="G47" s="30"/>
    </row>
    <row r="48" spans="1:7">
      <c r="A48" s="214"/>
      <c r="B48" s="214"/>
      <c r="C48" s="214"/>
      <c r="D48" s="214"/>
      <c r="E48" s="214"/>
      <c r="G48" s="30"/>
    </row>
    <row r="49" spans="1:7">
      <c r="A49" s="214"/>
      <c r="B49" s="214"/>
      <c r="C49" s="214"/>
      <c r="D49" s="214"/>
      <c r="E49" s="214"/>
      <c r="G49" s="30"/>
    </row>
    <row r="50" spans="1:7">
      <c r="A50" s="214"/>
      <c r="B50" s="214"/>
      <c r="C50" s="214"/>
      <c r="D50" s="214"/>
      <c r="E50" s="214"/>
      <c r="G50" s="30"/>
    </row>
    <row r="51" spans="1:7">
      <c r="A51" s="214"/>
      <c r="B51" s="214"/>
      <c r="C51" s="214"/>
      <c r="D51" s="214"/>
      <c r="E51" s="214"/>
      <c r="G51" s="30"/>
    </row>
    <row r="52" spans="1:7">
      <c r="A52" s="214"/>
      <c r="B52" s="214"/>
      <c r="C52" s="214"/>
      <c r="D52" s="214"/>
      <c r="E52" s="214"/>
      <c r="G52" s="30"/>
    </row>
    <row r="53" spans="1:7">
      <c r="A53" s="214"/>
      <c r="B53" s="214"/>
      <c r="C53" s="214"/>
      <c r="D53" s="214"/>
      <c r="E53" s="214"/>
      <c r="G53" s="30"/>
    </row>
    <row r="54" spans="1:7">
      <c r="A54" s="214"/>
      <c r="B54" s="214"/>
      <c r="C54" s="214"/>
      <c r="D54" s="214"/>
      <c r="E54" s="214"/>
      <c r="F54" s="30"/>
      <c r="G54" s="30"/>
    </row>
    <row r="55" spans="1:7">
      <c r="A55" s="214"/>
      <c r="B55" s="214"/>
      <c r="C55" s="214"/>
      <c r="D55" s="214"/>
      <c r="E55" s="214"/>
      <c r="F55" s="30"/>
      <c r="G55" s="30"/>
    </row>
    <row r="56" spans="1:7">
      <c r="A56" s="214"/>
      <c r="B56" s="214"/>
      <c r="C56" s="214"/>
      <c r="D56" s="214"/>
      <c r="E56" s="214"/>
      <c r="F56" s="30"/>
      <c r="G56" s="30"/>
    </row>
    <row r="57" spans="1:7">
      <c r="D57" s="22"/>
      <c r="E57" s="22"/>
      <c r="F57" s="30"/>
      <c r="G57" s="30"/>
    </row>
    <row r="58" spans="1:7">
      <c r="D58" s="115"/>
      <c r="E58" s="115"/>
      <c r="F58" s="30"/>
      <c r="G58" s="30"/>
    </row>
    <row r="59" spans="1:7">
      <c r="B59" s="116"/>
      <c r="D59" s="22"/>
      <c r="E59" s="22"/>
      <c r="F59" s="30"/>
      <c r="G59" s="30"/>
    </row>
    <row r="60" spans="1:7">
      <c r="D60" s="22"/>
      <c r="E60" s="22"/>
      <c r="F60" s="30"/>
      <c r="G60" s="30"/>
    </row>
    <row r="61" spans="1:7">
      <c r="D61" s="22"/>
      <c r="E61" s="22"/>
      <c r="F61" s="30"/>
      <c r="G61" s="30"/>
    </row>
    <row r="62" spans="1:7">
      <c r="F62" s="30"/>
      <c r="G62" s="30"/>
    </row>
    <row r="66" spans="1:1">
      <c r="A66" s="116"/>
    </row>
    <row r="69" spans="1:1">
      <c r="A69" s="116"/>
    </row>
    <row r="70" spans="1:1">
      <c r="A70" s="116"/>
    </row>
    <row r="71" spans="1:1">
      <c r="A71" s="116"/>
    </row>
    <row r="72" spans="1:1">
      <c r="A72" s="116"/>
    </row>
    <row r="75" spans="1:1">
      <c r="A75" s="116"/>
    </row>
    <row r="76" spans="1:1">
      <c r="A76" s="116"/>
    </row>
    <row r="77" spans="1:1">
      <c r="A77" s="116"/>
    </row>
    <row r="78" spans="1:1">
      <c r="A78" s="116"/>
    </row>
    <row r="79" spans="1:1">
      <c r="A79" s="116"/>
    </row>
    <row r="80" spans="1:1">
      <c r="A80" s="116"/>
    </row>
    <row r="81" spans="1:1">
      <c r="A81" s="116"/>
    </row>
  </sheetData>
  <sheetProtection algorithmName="SHA-512" hashValue="X0xUGHqD0KlYliJOJN671gE6WGT4COVy9uWT/m3cf97zJqnhQhiClFe8b147JdCzehn2LAZ5UtYJWNmySYZTRQ==" saltValue="DlRKWhdz5EIUWfQM0zDRog==" spinCount="100000" sheet="1" objects="1" scenarios="1"/>
  <mergeCells count="26">
    <mergeCell ref="A14:A15"/>
    <mergeCell ref="D14:D15"/>
    <mergeCell ref="A3:E4"/>
    <mergeCell ref="A6:D6"/>
    <mergeCell ref="A9:A10"/>
    <mergeCell ref="D9:D10"/>
    <mergeCell ref="A11:D11"/>
    <mergeCell ref="A16:A17"/>
    <mergeCell ref="D16:D17"/>
    <mergeCell ref="A18:A19"/>
    <mergeCell ref="D18:D19"/>
    <mergeCell ref="B21:B22"/>
    <mergeCell ref="C21:C22"/>
    <mergeCell ref="A23:A25"/>
    <mergeCell ref="D23:D25"/>
    <mergeCell ref="A28:A29"/>
    <mergeCell ref="D28:D29"/>
    <mergeCell ref="A30:A31"/>
    <mergeCell ref="D30:D31"/>
    <mergeCell ref="A46:E56"/>
    <mergeCell ref="A32:A34"/>
    <mergeCell ref="D33:D34"/>
    <mergeCell ref="A41:E41"/>
    <mergeCell ref="A42:E42"/>
    <mergeCell ref="A43:E43"/>
    <mergeCell ref="A44:E44"/>
  </mergeCells>
  <pageMargins left="0.70000000000000007" right="0.70000000000000007" top="1.1437000000000002" bottom="1.1437000000000002" header="0.75000000000000011" footer="0.75000000000000011"/>
  <pageSetup paperSize="0" fitToWidth="0" fitToHeight="0" orientation="portrait" horizontalDpi="0" verticalDpi="0" copies="0"/>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G81"/>
  <sheetViews>
    <sheetView workbookViewId="0">
      <selection activeCell="B10" sqref="B10"/>
    </sheetView>
  </sheetViews>
  <sheetFormatPr defaultRowHeight="14.25"/>
  <cols>
    <col min="1" max="1" width="36" customWidth="1"/>
    <col min="2" max="2" width="16.25" customWidth="1"/>
    <col min="3" max="3" width="29.75" customWidth="1"/>
    <col min="4" max="4" width="26" customWidth="1"/>
    <col min="5" max="5" width="9" customWidth="1"/>
    <col min="6" max="6" width="8.375" customWidth="1"/>
    <col min="7" max="256" width="8" customWidth="1"/>
    <col min="257" max="257" width="36" customWidth="1"/>
    <col min="258" max="258" width="16.25" customWidth="1"/>
    <col min="259" max="259" width="29.75" customWidth="1"/>
    <col min="260" max="260" width="26" customWidth="1"/>
    <col min="261" max="261" width="9" customWidth="1"/>
    <col min="262" max="262" width="8.375" customWidth="1"/>
    <col min="263" max="512" width="8" customWidth="1"/>
    <col min="513" max="513" width="36" customWidth="1"/>
    <col min="514" max="514" width="16.25" customWidth="1"/>
    <col min="515" max="515" width="29.75" customWidth="1"/>
    <col min="516" max="516" width="26" customWidth="1"/>
    <col min="517" max="517" width="9" customWidth="1"/>
    <col min="518" max="518" width="8.375" customWidth="1"/>
    <col min="519" max="768" width="8" customWidth="1"/>
    <col min="769" max="769" width="36" customWidth="1"/>
    <col min="770" max="770" width="16.25" customWidth="1"/>
    <col min="771" max="771" width="29.75" customWidth="1"/>
    <col min="772" max="772" width="26" customWidth="1"/>
    <col min="773" max="773" width="9" customWidth="1"/>
    <col min="774" max="774" width="8.375" customWidth="1"/>
    <col min="775" max="1024" width="8" customWidth="1"/>
  </cols>
  <sheetData>
    <row r="1" spans="1:5" ht="18">
      <c r="A1" s="57" t="s">
        <v>168</v>
      </c>
      <c r="B1" s="58"/>
      <c r="C1" s="58"/>
      <c r="D1" s="58"/>
      <c r="E1" s="59"/>
    </row>
    <row r="2" spans="1:5" ht="18">
      <c r="A2" s="60">
        <v>40525</v>
      </c>
      <c r="B2" s="58"/>
      <c r="C2" s="58"/>
      <c r="D2" s="58"/>
      <c r="E2" s="61"/>
    </row>
    <row r="3" spans="1:5" ht="12.75" customHeight="1">
      <c r="A3" s="228" t="s">
        <v>169</v>
      </c>
      <c r="B3" s="228"/>
      <c r="C3" s="228"/>
      <c r="D3" s="228"/>
      <c r="E3" s="228"/>
    </row>
    <row r="4" spans="1:5">
      <c r="A4" s="228"/>
      <c r="B4" s="228"/>
      <c r="C4" s="228"/>
      <c r="D4" s="228"/>
      <c r="E4" s="228"/>
    </row>
    <row r="5" spans="1:5" ht="96.75" thickBot="1">
      <c r="A5" s="62" t="s">
        <v>170</v>
      </c>
      <c r="B5" s="62" t="s">
        <v>171</v>
      </c>
      <c r="C5" s="62" t="s">
        <v>172</v>
      </c>
      <c r="D5" s="63" t="s">
        <v>173</v>
      </c>
      <c r="E5" s="61"/>
    </row>
    <row r="6" spans="1:5" ht="15" customHeight="1">
      <c r="A6" s="229" t="s">
        <v>174</v>
      </c>
      <c r="B6" s="229"/>
      <c r="C6" s="229"/>
      <c r="D6" s="229"/>
      <c r="E6" s="64"/>
    </row>
    <row r="7" spans="1:5" ht="105" customHeight="1">
      <c r="A7" s="65" t="s">
        <v>175</v>
      </c>
      <c r="B7" s="66">
        <v>20</v>
      </c>
      <c r="C7" s="67" t="s">
        <v>176</v>
      </c>
      <c r="D7" s="68">
        <f>B7*'Guidance and Sources'!D10*1000*'Guidance and Sources'!C62</f>
        <v>74134</v>
      </c>
      <c r="E7" s="64"/>
    </row>
    <row r="8" spans="1:5" ht="25.5">
      <c r="A8" s="69" t="s">
        <v>177</v>
      </c>
      <c r="B8" s="70"/>
      <c r="C8" s="70"/>
      <c r="D8" s="71"/>
      <c r="E8" s="64"/>
    </row>
    <row r="9" spans="1:5" ht="55.5" customHeight="1" thickBot="1">
      <c r="A9" s="215" t="s">
        <v>178</v>
      </c>
      <c r="B9" s="66">
        <v>20</v>
      </c>
      <c r="C9" s="67" t="s">
        <v>179</v>
      </c>
      <c r="D9" s="230">
        <f>B9*B10*(('Guidance and Sources'!D25*'Guidance and Sources'!C64)+'Guidance and Sources'!H25)</f>
        <v>18216.281003608001</v>
      </c>
      <c r="E9" s="64"/>
    </row>
    <row r="10" spans="1:5" ht="60.75" customHeight="1" thickBot="1">
      <c r="A10" s="215"/>
      <c r="B10" s="72">
        <v>0.9</v>
      </c>
      <c r="C10" s="73" t="s">
        <v>180</v>
      </c>
      <c r="D10" s="230"/>
      <c r="E10" s="64"/>
    </row>
    <row r="11" spans="1:5" ht="15" customHeight="1">
      <c r="A11" s="231" t="s">
        <v>181</v>
      </c>
      <c r="B11" s="231"/>
      <c r="C11" s="231"/>
      <c r="D11" s="231"/>
      <c r="E11" s="64"/>
    </row>
    <row r="12" spans="1:5" ht="105" customHeight="1">
      <c r="A12" s="74" t="s">
        <v>182</v>
      </c>
      <c r="B12" s="66">
        <v>0</v>
      </c>
      <c r="C12" s="75" t="s">
        <v>183</v>
      </c>
      <c r="D12" s="76">
        <f>B12*'Guidance and Sources'!D9*1000*'Guidance and Sources'!C62</f>
        <v>0</v>
      </c>
      <c r="E12" s="64"/>
    </row>
    <row r="13" spans="1:5" ht="105" customHeight="1">
      <c r="A13" s="65" t="s">
        <v>184</v>
      </c>
      <c r="B13" s="66"/>
      <c r="C13" s="67" t="s">
        <v>185</v>
      </c>
      <c r="D13" s="76">
        <f>B13*'Guidance and Sources'!D11*1000*'Guidance and Sources'!C62</f>
        <v>0</v>
      </c>
      <c r="E13" s="64"/>
    </row>
    <row r="14" spans="1:5" ht="105" customHeight="1">
      <c r="A14" s="219" t="s">
        <v>186</v>
      </c>
      <c r="B14" s="66"/>
      <c r="C14" s="75" t="s">
        <v>187</v>
      </c>
      <c r="D14" s="225">
        <f>(B14*'Guidance and Sources'!D15*'Guidance and Sources'!C62)+(B15*'Guidance and Sources'!D16*'Guidance and Sources'!C62)</f>
        <v>0</v>
      </c>
      <c r="E14" s="64"/>
    </row>
    <row r="15" spans="1:5" ht="60" customHeight="1">
      <c r="A15" s="219"/>
      <c r="B15" s="66"/>
      <c r="C15" s="75" t="s">
        <v>188</v>
      </c>
      <c r="D15" s="225"/>
      <c r="E15" s="64"/>
    </row>
    <row r="16" spans="1:5" ht="90" customHeight="1">
      <c r="A16" s="224" t="s">
        <v>189</v>
      </c>
      <c r="B16" s="66"/>
      <c r="C16" s="75" t="s">
        <v>190</v>
      </c>
      <c r="D16" s="225">
        <f>B16*B17*'Guidance and Sources'!D17*'Guidance and Sources'!C62*365</f>
        <v>0</v>
      </c>
      <c r="E16" s="64"/>
    </row>
    <row r="17" spans="1:5" ht="60.75" customHeight="1" thickBot="1">
      <c r="A17" s="224"/>
      <c r="B17" s="77"/>
      <c r="C17" s="73" t="s">
        <v>180</v>
      </c>
      <c r="D17" s="225"/>
      <c r="E17" s="64"/>
    </row>
    <row r="18" spans="1:5" ht="90" customHeight="1">
      <c r="A18" s="219" t="s">
        <v>191</v>
      </c>
      <c r="B18" s="66"/>
      <c r="C18" s="75" t="s">
        <v>190</v>
      </c>
      <c r="D18" s="225">
        <f>B18*B19*'Guidance and Sources'!D22*1000*'Guidance and Sources'!C62</f>
        <v>0</v>
      </c>
      <c r="E18" s="64"/>
    </row>
    <row r="19" spans="1:5" ht="60.75" customHeight="1" thickBot="1">
      <c r="A19" s="219"/>
      <c r="B19" s="77"/>
      <c r="C19" s="73" t="s">
        <v>180</v>
      </c>
      <c r="D19" s="225"/>
      <c r="E19" s="64"/>
    </row>
    <row r="20" spans="1:5" ht="90" customHeight="1">
      <c r="A20" s="78" t="s">
        <v>192</v>
      </c>
      <c r="B20" s="79"/>
      <c r="C20" s="80" t="s">
        <v>193</v>
      </c>
      <c r="D20" s="81">
        <f>B20*1000*'Guidance and Sources'!D20</f>
        <v>0</v>
      </c>
      <c r="E20" s="64"/>
    </row>
    <row r="21" spans="1:5" ht="102" customHeight="1">
      <c r="A21" s="74" t="s">
        <v>194</v>
      </c>
      <c r="B21" s="226"/>
      <c r="C21" s="227" t="s">
        <v>195</v>
      </c>
      <c r="D21" s="68">
        <f>B21*('Guidance and Sources'!D7+'Guidance and Sources'!D8)*365*'Guidance and Sources'!C62</f>
        <v>0</v>
      </c>
      <c r="E21" s="64"/>
    </row>
    <row r="22" spans="1:5" ht="76.5" customHeight="1">
      <c r="A22" s="74" t="s">
        <v>196</v>
      </c>
      <c r="B22" s="226"/>
      <c r="C22" s="227"/>
      <c r="D22" s="68">
        <f>B21*'Guidance and Sources'!D23</f>
        <v>0</v>
      </c>
      <c r="E22" s="64"/>
    </row>
    <row r="23" spans="1:5" ht="75" customHeight="1">
      <c r="A23" s="219" t="s">
        <v>197</v>
      </c>
      <c r="B23" s="82"/>
      <c r="C23" s="75" t="s">
        <v>198</v>
      </c>
      <c r="D23" s="220">
        <f>B23*B24*25*1000*'Guidance and Sources'!C62</f>
        <v>0</v>
      </c>
      <c r="E23" s="64"/>
    </row>
    <row r="24" spans="1:5" ht="63.75" customHeight="1">
      <c r="A24" s="219"/>
      <c r="B24" s="82"/>
      <c r="C24" s="65" t="s">
        <v>199</v>
      </c>
      <c r="D24" s="220"/>
      <c r="E24" s="64"/>
    </row>
    <row r="25" spans="1:5" ht="60.75" customHeight="1" thickBot="1">
      <c r="A25" s="219"/>
      <c r="B25" s="83"/>
      <c r="C25" s="73" t="s">
        <v>180</v>
      </c>
      <c r="D25" s="220"/>
      <c r="E25" s="64"/>
    </row>
    <row r="26" spans="1:5" ht="51" customHeight="1">
      <c r="A26" s="69" t="s">
        <v>200</v>
      </c>
      <c r="B26" s="70">
        <v>0</v>
      </c>
      <c r="C26" s="70"/>
      <c r="D26" s="71"/>
      <c r="E26" s="64"/>
    </row>
    <row r="27" spans="1:5" ht="89.25" customHeight="1">
      <c r="A27" s="84" t="s">
        <v>201</v>
      </c>
      <c r="B27" s="82">
        <v>228.144564</v>
      </c>
      <c r="C27" s="65" t="s">
        <v>202</v>
      </c>
      <c r="D27" s="85">
        <f>B27*('Guidance and Sources'!D19+'Guidance and Sources'!H19)</f>
        <v>16867.615098873961</v>
      </c>
      <c r="E27" s="64"/>
    </row>
    <row r="28" spans="1:5" ht="75" customHeight="1">
      <c r="A28" s="221" t="s">
        <v>203</v>
      </c>
      <c r="B28" s="66">
        <v>5</v>
      </c>
      <c r="C28" s="75" t="s">
        <v>204</v>
      </c>
      <c r="D28" s="222">
        <f>(B28*(('Guidance and Sources'!D12*'Guidance and Sources'!C62)+('Guidance and Sources'!H12*'Guidance and Sources'!C63)))+(B29*(('Guidance and Sources'!D13*'Guidance and Sources'!C62)+('Guidance and Sources'!H13*'Guidance and Sources'!C63)))</f>
        <v>10.930422699999999</v>
      </c>
      <c r="E28" s="64"/>
    </row>
    <row r="29" spans="1:5" ht="105" customHeight="1">
      <c r="A29" s="221"/>
      <c r="B29" s="66"/>
      <c r="C29" s="75" t="s">
        <v>205</v>
      </c>
      <c r="D29" s="222"/>
      <c r="E29" s="64"/>
    </row>
    <row r="30" spans="1:5" ht="55.5" customHeight="1">
      <c r="A30" s="221" t="s">
        <v>206</v>
      </c>
      <c r="B30" s="86">
        <v>5</v>
      </c>
      <c r="C30" s="67" t="s">
        <v>207</v>
      </c>
      <c r="D30" s="223">
        <f>B30*B31*(('Guidance and Sources'!D26*'Guidance and Sources'!C64)+'Guidance and Sources'!H26)</f>
        <v>0</v>
      </c>
      <c r="E30" s="64"/>
    </row>
    <row r="31" spans="1:5" ht="60" customHeight="1">
      <c r="A31" s="221"/>
      <c r="B31" s="87"/>
      <c r="C31" s="88" t="s">
        <v>180</v>
      </c>
      <c r="D31" s="223"/>
      <c r="E31" s="64"/>
    </row>
    <row r="32" spans="1:5" ht="195" customHeight="1" thickBot="1">
      <c r="A32" s="215" t="s">
        <v>208</v>
      </c>
      <c r="B32" s="89">
        <v>10</v>
      </c>
      <c r="C32" s="90" t="s">
        <v>209</v>
      </c>
      <c r="D32" s="91">
        <f>B32*(('Guidance and Sources'!D27*'Guidance and Sources'!C62*1000000)+'Guidance and Sources'!H27)</f>
        <v>9461.3520000000008</v>
      </c>
      <c r="E32" s="92"/>
    </row>
    <row r="33" spans="1:7" ht="29.25" thickBot="1">
      <c r="A33" s="215"/>
      <c r="B33" s="93">
        <v>5</v>
      </c>
      <c r="C33" s="94" t="s">
        <v>210</v>
      </c>
      <c r="D33" s="216">
        <f>B33*B34*(('Guidance and Sources'!D28*'Guidance and Sources'!C62)+'Guidance and Sources'!H28)</f>
        <v>3847.7378057270498</v>
      </c>
      <c r="E33" s="64"/>
    </row>
    <row r="34" spans="1:7" ht="15" thickBot="1">
      <c r="A34" s="215"/>
      <c r="B34" s="95">
        <v>0.5</v>
      </c>
      <c r="C34" s="96" t="s">
        <v>180</v>
      </c>
      <c r="D34" s="216"/>
      <c r="E34" s="64"/>
    </row>
    <row r="35" spans="1:7">
      <c r="A35" s="97"/>
      <c r="B35" s="98"/>
      <c r="C35" s="99"/>
      <c r="D35" s="100"/>
      <c r="E35" s="64"/>
    </row>
    <row r="36" spans="1:7" ht="27">
      <c r="A36" s="101"/>
      <c r="B36" s="98"/>
      <c r="C36" s="102" t="s">
        <v>211</v>
      </c>
      <c r="D36" s="103">
        <f>SUM(D12:D34)+D7+D9</f>
        <v>122537.91633090902</v>
      </c>
      <c r="E36" s="64"/>
    </row>
    <row r="37" spans="1:7">
      <c r="A37" s="101"/>
      <c r="B37" s="104"/>
      <c r="C37" s="105"/>
      <c r="D37" s="106"/>
      <c r="E37" s="64"/>
    </row>
    <row r="38" spans="1:7">
      <c r="A38" s="107" t="s">
        <v>212</v>
      </c>
      <c r="B38" s="108"/>
      <c r="C38" s="108"/>
      <c r="D38" s="108"/>
      <c r="E38" s="64"/>
    </row>
    <row r="39" spans="1:7">
      <c r="A39" s="109"/>
      <c r="B39" s="110"/>
      <c r="C39" s="110"/>
      <c r="D39" s="110"/>
      <c r="E39" s="64"/>
    </row>
    <row r="40" spans="1:7">
      <c r="A40" s="111" t="s">
        <v>213</v>
      </c>
      <c r="B40" s="112"/>
      <c r="C40" s="58"/>
      <c r="D40" s="106"/>
      <c r="E40" s="61"/>
    </row>
    <row r="41" spans="1:7" ht="53.25" customHeight="1">
      <c r="A41" s="217" t="s">
        <v>214</v>
      </c>
      <c r="B41" s="217"/>
      <c r="C41" s="217"/>
      <c r="D41" s="217"/>
      <c r="E41" s="217"/>
    </row>
    <row r="42" spans="1:7" ht="26.25" customHeight="1">
      <c r="A42" s="217" t="s">
        <v>215</v>
      </c>
      <c r="B42" s="217"/>
      <c r="C42" s="217"/>
      <c r="D42" s="217"/>
      <c r="E42" s="217"/>
    </row>
    <row r="43" spans="1:7" ht="39.75" customHeight="1">
      <c r="A43" s="217" t="s">
        <v>216</v>
      </c>
      <c r="B43" s="217"/>
      <c r="C43" s="217"/>
      <c r="D43" s="217"/>
      <c r="E43" s="217"/>
    </row>
    <row r="44" spans="1:7" ht="39.75" customHeight="1">
      <c r="A44" s="218" t="s">
        <v>217</v>
      </c>
      <c r="B44" s="218"/>
      <c r="C44" s="218"/>
      <c r="D44" s="218"/>
      <c r="E44" s="218"/>
    </row>
    <row r="45" spans="1:7">
      <c r="A45" s="109"/>
      <c r="B45" s="110"/>
      <c r="C45" s="113"/>
      <c r="D45" s="114"/>
      <c r="E45" s="64"/>
    </row>
    <row r="46" spans="1:7" ht="12.75" customHeight="1">
      <c r="A46" s="214" t="s">
        <v>218</v>
      </c>
      <c r="B46" s="214"/>
      <c r="C46" s="214"/>
      <c r="D46" s="214"/>
      <c r="E46" s="214"/>
      <c r="G46" s="30"/>
    </row>
    <row r="47" spans="1:7">
      <c r="A47" s="214"/>
      <c r="B47" s="214"/>
      <c r="C47" s="214"/>
      <c r="D47" s="214"/>
      <c r="E47" s="214"/>
      <c r="G47" s="30"/>
    </row>
    <row r="48" spans="1:7">
      <c r="A48" s="214"/>
      <c r="B48" s="214"/>
      <c r="C48" s="214"/>
      <c r="D48" s="214"/>
      <c r="E48" s="214"/>
      <c r="G48" s="30"/>
    </row>
    <row r="49" spans="1:7">
      <c r="A49" s="214"/>
      <c r="B49" s="214"/>
      <c r="C49" s="214"/>
      <c r="D49" s="214"/>
      <c r="E49" s="214"/>
      <c r="G49" s="30"/>
    </row>
    <row r="50" spans="1:7">
      <c r="A50" s="214"/>
      <c r="B50" s="214"/>
      <c r="C50" s="214"/>
      <c r="D50" s="214"/>
      <c r="E50" s="214"/>
      <c r="G50" s="30"/>
    </row>
    <row r="51" spans="1:7">
      <c r="A51" s="214"/>
      <c r="B51" s="214"/>
      <c r="C51" s="214"/>
      <c r="D51" s="214"/>
      <c r="E51" s="214"/>
      <c r="G51" s="30"/>
    </row>
    <row r="52" spans="1:7">
      <c r="A52" s="214"/>
      <c r="B52" s="214"/>
      <c r="C52" s="214"/>
      <c r="D52" s="214"/>
      <c r="E52" s="214"/>
      <c r="G52" s="30"/>
    </row>
    <row r="53" spans="1:7">
      <c r="A53" s="214"/>
      <c r="B53" s="214"/>
      <c r="C53" s="214"/>
      <c r="D53" s="214"/>
      <c r="E53" s="214"/>
      <c r="G53" s="30"/>
    </row>
    <row r="54" spans="1:7">
      <c r="A54" s="214"/>
      <c r="B54" s="214"/>
      <c r="C54" s="214"/>
      <c r="D54" s="214"/>
      <c r="E54" s="214"/>
      <c r="F54" s="30"/>
      <c r="G54" s="30"/>
    </row>
    <row r="55" spans="1:7">
      <c r="A55" s="214"/>
      <c r="B55" s="214"/>
      <c r="C55" s="214"/>
      <c r="D55" s="214"/>
      <c r="E55" s="214"/>
      <c r="F55" s="30"/>
      <c r="G55" s="30"/>
    </row>
    <row r="56" spans="1:7">
      <c r="A56" s="214"/>
      <c r="B56" s="214"/>
      <c r="C56" s="214"/>
      <c r="D56" s="214"/>
      <c r="E56" s="214"/>
      <c r="F56" s="30"/>
      <c r="G56" s="30"/>
    </row>
    <row r="57" spans="1:7">
      <c r="D57" s="22"/>
      <c r="E57" s="22"/>
      <c r="F57" s="30"/>
      <c r="G57" s="30"/>
    </row>
    <row r="58" spans="1:7">
      <c r="D58" s="115"/>
      <c r="E58" s="115"/>
      <c r="F58" s="30"/>
      <c r="G58" s="30"/>
    </row>
    <row r="59" spans="1:7">
      <c r="B59" s="116"/>
      <c r="D59" s="22"/>
      <c r="E59" s="22"/>
      <c r="F59" s="30"/>
      <c r="G59" s="30"/>
    </row>
    <row r="60" spans="1:7">
      <c r="D60" s="22"/>
      <c r="E60" s="22"/>
      <c r="F60" s="30"/>
      <c r="G60" s="30"/>
    </row>
    <row r="61" spans="1:7">
      <c r="D61" s="22"/>
      <c r="E61" s="22"/>
      <c r="F61" s="30"/>
      <c r="G61" s="30"/>
    </row>
    <row r="62" spans="1:7">
      <c r="F62" s="30"/>
      <c r="G62" s="30"/>
    </row>
    <row r="66" spans="1:1">
      <c r="A66" s="116"/>
    </row>
    <row r="69" spans="1:1">
      <c r="A69" s="116"/>
    </row>
    <row r="70" spans="1:1">
      <c r="A70" s="116"/>
    </row>
    <row r="71" spans="1:1">
      <c r="A71" s="116"/>
    </row>
    <row r="72" spans="1:1">
      <c r="A72" s="116"/>
    </row>
    <row r="75" spans="1:1">
      <c r="A75" s="116"/>
    </row>
    <row r="76" spans="1:1">
      <c r="A76" s="116"/>
    </row>
    <row r="77" spans="1:1">
      <c r="A77" s="116"/>
    </row>
    <row r="78" spans="1:1">
      <c r="A78" s="116"/>
    </row>
    <row r="79" spans="1:1">
      <c r="A79" s="116"/>
    </row>
    <row r="80" spans="1:1">
      <c r="A80" s="116"/>
    </row>
    <row r="81" spans="1:1">
      <c r="A81" s="116"/>
    </row>
  </sheetData>
  <sheetProtection algorithmName="SHA-512" hashValue="JnbIBTShhlK21r1bHVy3IPWSBYBCpYUht2sfjkIESeAj1QoTk0I2Wz3cECDC6E1NFPH3o9HjR5yuhz5KS+++Yg==" saltValue="YKOniVp3iSgJ63BVBTLuyw==" spinCount="100000" sheet="1" objects="1" scenarios="1"/>
  <mergeCells count="26">
    <mergeCell ref="A14:A15"/>
    <mergeCell ref="D14:D15"/>
    <mergeCell ref="A3:E4"/>
    <mergeCell ref="A6:D6"/>
    <mergeCell ref="A9:A10"/>
    <mergeCell ref="D9:D10"/>
    <mergeCell ref="A11:D11"/>
    <mergeCell ref="A16:A17"/>
    <mergeCell ref="D16:D17"/>
    <mergeCell ref="A18:A19"/>
    <mergeCell ref="D18:D19"/>
    <mergeCell ref="B21:B22"/>
    <mergeCell ref="C21:C22"/>
    <mergeCell ref="A23:A25"/>
    <mergeCell ref="D23:D25"/>
    <mergeCell ref="A28:A29"/>
    <mergeCell ref="D28:D29"/>
    <mergeCell ref="A30:A31"/>
    <mergeCell ref="D30:D31"/>
    <mergeCell ref="A46:E56"/>
    <mergeCell ref="A32:A34"/>
    <mergeCell ref="D33:D34"/>
    <mergeCell ref="A41:E41"/>
    <mergeCell ref="A42:E42"/>
    <mergeCell ref="A43:E43"/>
    <mergeCell ref="A44:E44"/>
  </mergeCells>
  <pageMargins left="0.70000000000000007" right="0.70000000000000007" top="1.1437000000000002" bottom="1.1437000000000002" header="0.75000000000000011" footer="0.75000000000000011"/>
  <pageSetup paperSize="0" fitToWidth="0" fitToHeight="0" orientation="portrait" horizontalDpi="0" verticalDpi="0" copies="0"/>
  <headerFooter alignWithMargins="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MJ78"/>
  <sheetViews>
    <sheetView topLeftCell="A43" workbookViewId="0">
      <selection activeCell="C64" sqref="C64"/>
    </sheetView>
  </sheetViews>
  <sheetFormatPr defaultRowHeight="12.75" customHeight="1"/>
  <cols>
    <col min="1" max="1" width="44.875" style="120" customWidth="1"/>
    <col min="2" max="2" width="40.625" style="120" customWidth="1"/>
    <col min="3" max="3" width="34" style="120" customWidth="1"/>
    <col min="4" max="4" width="22.75" style="120" customWidth="1"/>
    <col min="5" max="5" width="20.75" style="120" customWidth="1"/>
    <col min="6" max="6" width="58.375" style="120" customWidth="1"/>
    <col min="7" max="7" width="50.75" style="208" customWidth="1"/>
    <col min="8" max="8" width="20.625" style="120" customWidth="1"/>
    <col min="9" max="9" width="16.25" style="120" customWidth="1"/>
    <col min="10" max="10" width="42.5" style="120" customWidth="1"/>
    <col min="11" max="11" width="50.75" style="120" customWidth="1"/>
    <col min="12" max="256" width="8.5" style="120" customWidth="1"/>
    <col min="257" max="257" width="44.875" style="120" customWidth="1"/>
    <col min="258" max="258" width="40.625" style="120" customWidth="1"/>
    <col min="259" max="259" width="34" style="120" customWidth="1"/>
    <col min="260" max="260" width="22.75" style="120" customWidth="1"/>
    <col min="261" max="261" width="20.75" style="120" customWidth="1"/>
    <col min="262" max="262" width="58.375" style="120" customWidth="1"/>
    <col min="263" max="263" width="50.75" style="120" customWidth="1"/>
    <col min="264" max="264" width="20.625" style="120" customWidth="1"/>
    <col min="265" max="265" width="16.25" style="120" customWidth="1"/>
    <col min="266" max="266" width="42.5" style="120" customWidth="1"/>
    <col min="267" max="267" width="50.75" style="120" customWidth="1"/>
    <col min="268" max="512" width="8.5" style="120" customWidth="1"/>
    <col min="513" max="513" width="44.875" style="120" customWidth="1"/>
    <col min="514" max="514" width="40.625" style="120" customWidth="1"/>
    <col min="515" max="515" width="34" style="120" customWidth="1"/>
    <col min="516" max="516" width="22.75" style="120" customWidth="1"/>
    <col min="517" max="517" width="20.75" style="120" customWidth="1"/>
    <col min="518" max="518" width="58.375" style="120" customWidth="1"/>
    <col min="519" max="519" width="50.75" style="120" customWidth="1"/>
    <col min="520" max="520" width="20.625" style="120" customWidth="1"/>
    <col min="521" max="521" width="16.25" style="120" customWidth="1"/>
    <col min="522" max="522" width="42.5" style="120" customWidth="1"/>
    <col min="523" max="523" width="50.75" style="120" customWidth="1"/>
    <col min="524" max="768" width="8.5" style="120" customWidth="1"/>
    <col min="769" max="769" width="44.875" style="120" customWidth="1"/>
    <col min="770" max="770" width="40.625" style="120" customWidth="1"/>
    <col min="771" max="771" width="34" style="120" customWidth="1"/>
    <col min="772" max="772" width="22.75" style="120" customWidth="1"/>
    <col min="773" max="773" width="20.75" style="120" customWidth="1"/>
    <col min="774" max="774" width="58.375" style="120" customWidth="1"/>
    <col min="775" max="775" width="50.75" style="120" customWidth="1"/>
    <col min="776" max="776" width="20.625" style="120" customWidth="1"/>
    <col min="777" max="777" width="16.25" style="120" customWidth="1"/>
    <col min="778" max="778" width="42.5" style="120" customWidth="1"/>
    <col min="779" max="779" width="50.75" style="120" customWidth="1"/>
    <col min="780" max="1024" width="8.5" style="120" customWidth="1"/>
  </cols>
  <sheetData>
    <row r="1" spans="1:28" ht="18">
      <c r="A1" s="117" t="s">
        <v>219</v>
      </c>
      <c r="B1" s="118"/>
      <c r="C1" s="118"/>
      <c r="D1" s="118"/>
      <c r="E1" s="118"/>
      <c r="F1" s="118"/>
      <c r="G1" s="119"/>
      <c r="H1" s="118"/>
      <c r="I1" s="118"/>
      <c r="J1" s="118"/>
      <c r="K1" s="118"/>
      <c r="L1" s="118"/>
    </row>
    <row r="2" spans="1:28" ht="18">
      <c r="A2" s="121">
        <v>40525</v>
      </c>
      <c r="B2" s="118"/>
      <c r="C2" s="118"/>
      <c r="D2" s="118"/>
      <c r="E2" s="118"/>
      <c r="F2" s="118"/>
      <c r="G2" s="119"/>
      <c r="H2" s="118"/>
      <c r="I2" s="118"/>
      <c r="J2" s="118"/>
      <c r="K2" s="118"/>
      <c r="L2" s="118"/>
    </row>
    <row r="3" spans="1:28" ht="18" customHeight="1">
      <c r="A3" s="232" t="s">
        <v>220</v>
      </c>
      <c r="B3" s="232"/>
      <c r="C3" s="232"/>
      <c r="D3" s="122"/>
      <c r="E3" s="118"/>
      <c r="F3" s="118"/>
      <c r="G3" s="123"/>
      <c r="H3" s="118"/>
      <c r="I3" s="118"/>
      <c r="J3" s="118"/>
      <c r="K3" s="118"/>
      <c r="L3" s="118"/>
    </row>
    <row r="4" spans="1:28" ht="18">
      <c r="A4" s="118"/>
      <c r="B4" s="118"/>
      <c r="C4" s="124"/>
      <c r="D4" s="124"/>
      <c r="E4" s="118"/>
      <c r="F4" s="118"/>
      <c r="G4" s="125"/>
      <c r="H4" s="118"/>
      <c r="I4" s="118"/>
      <c r="J4" s="118"/>
      <c r="K4" s="118"/>
      <c r="L4" s="118"/>
    </row>
    <row r="5" spans="1:28" ht="14.25">
      <c r="A5" s="118"/>
      <c r="B5" s="118"/>
      <c r="C5" s="118"/>
      <c r="D5" s="118"/>
      <c r="E5" s="126"/>
      <c r="F5" s="118"/>
      <c r="G5" s="119"/>
      <c r="H5" s="118"/>
      <c r="I5" s="118"/>
      <c r="J5" s="118"/>
      <c r="K5" s="118"/>
      <c r="L5" s="118"/>
    </row>
    <row r="6" spans="1:28" ht="63" customHeight="1">
      <c r="A6" s="127" t="s">
        <v>221</v>
      </c>
      <c r="B6" s="127" t="s">
        <v>222</v>
      </c>
      <c r="C6" s="127" t="s">
        <v>223</v>
      </c>
      <c r="D6" s="127" t="s">
        <v>224</v>
      </c>
      <c r="E6" s="127" t="s">
        <v>225</v>
      </c>
      <c r="F6" s="127" t="s">
        <v>226</v>
      </c>
      <c r="G6" s="127" t="s">
        <v>227</v>
      </c>
      <c r="H6" s="127" t="s">
        <v>228</v>
      </c>
      <c r="I6" s="127" t="s">
        <v>229</v>
      </c>
      <c r="J6" s="127" t="s">
        <v>230</v>
      </c>
      <c r="K6" s="128" t="s">
        <v>231</v>
      </c>
      <c r="L6" s="118"/>
      <c r="Q6" s="129"/>
      <c r="R6" s="129"/>
      <c r="S6" s="129"/>
      <c r="T6" s="129"/>
      <c r="U6" s="129"/>
      <c r="V6" s="129"/>
      <c r="W6" s="129"/>
      <c r="X6" s="129"/>
      <c r="Y6" s="129"/>
      <c r="Z6" s="129"/>
      <c r="AA6" s="129"/>
      <c r="AB6" s="129"/>
    </row>
    <row r="7" spans="1:28" ht="42.75">
      <c r="A7" s="130" t="s">
        <v>232</v>
      </c>
      <c r="B7" s="131" t="s">
        <v>233</v>
      </c>
      <c r="C7" s="132" t="s">
        <v>234</v>
      </c>
      <c r="D7" s="133">
        <f>345*(433257+395631)/(525000+455015)</f>
        <v>291.79794186823671</v>
      </c>
      <c r="E7" s="134" t="s">
        <v>235</v>
      </c>
      <c r="F7" s="135" t="s">
        <v>236</v>
      </c>
      <c r="G7" s="135" t="s">
        <v>237</v>
      </c>
      <c r="H7" s="136" t="s">
        <v>238</v>
      </c>
      <c r="I7" s="136" t="s">
        <v>238</v>
      </c>
      <c r="J7" s="136" t="s">
        <v>238</v>
      </c>
      <c r="K7" s="136" t="s">
        <v>238</v>
      </c>
      <c r="L7" s="118"/>
    </row>
    <row r="8" spans="1:28" ht="38.25">
      <c r="A8" s="130" t="s">
        <v>239</v>
      </c>
      <c r="B8" s="131" t="s">
        <v>233</v>
      </c>
      <c r="C8" s="132" t="s">
        <v>234</v>
      </c>
      <c r="D8" s="133">
        <f>248*(1579)/(525000+455015)</f>
        <v>0.39957755748636503</v>
      </c>
      <c r="E8" s="134" t="s">
        <v>240</v>
      </c>
      <c r="F8" s="135" t="s">
        <v>241</v>
      </c>
      <c r="G8" s="135" t="s">
        <v>242</v>
      </c>
      <c r="H8" s="136" t="s">
        <v>238</v>
      </c>
      <c r="I8" s="136" t="s">
        <v>238</v>
      </c>
      <c r="J8" s="136" t="s">
        <v>238</v>
      </c>
      <c r="K8" s="136" t="s">
        <v>238</v>
      </c>
      <c r="L8" s="118"/>
    </row>
    <row r="9" spans="1:28" ht="71.25">
      <c r="A9" s="130" t="s">
        <v>243</v>
      </c>
      <c r="B9" s="131" t="s">
        <v>183</v>
      </c>
      <c r="C9" s="132" t="s">
        <v>244</v>
      </c>
      <c r="D9" s="134">
        <v>573</v>
      </c>
      <c r="E9" s="134" t="s">
        <v>245</v>
      </c>
      <c r="F9" s="135" t="s">
        <v>246</v>
      </c>
      <c r="G9" s="135" t="s">
        <v>247</v>
      </c>
      <c r="H9" s="136" t="s">
        <v>238</v>
      </c>
      <c r="I9" s="136" t="s">
        <v>238</v>
      </c>
      <c r="J9" s="136" t="s">
        <v>238</v>
      </c>
      <c r="K9" s="136" t="s">
        <v>238</v>
      </c>
      <c r="L9" s="118"/>
    </row>
    <row r="10" spans="1:28" ht="53.25" customHeight="1">
      <c r="A10" s="137" t="s">
        <v>248</v>
      </c>
      <c r="B10" s="134" t="s">
        <v>249</v>
      </c>
      <c r="C10" s="132" t="s">
        <v>250</v>
      </c>
      <c r="D10" s="138">
        <v>9175</v>
      </c>
      <c r="E10" s="134" t="s">
        <v>251</v>
      </c>
      <c r="F10" s="135" t="s">
        <v>246</v>
      </c>
      <c r="G10" s="135" t="s">
        <v>252</v>
      </c>
      <c r="H10" s="136" t="s">
        <v>238</v>
      </c>
      <c r="I10" s="136" t="s">
        <v>238</v>
      </c>
      <c r="J10" s="136" t="s">
        <v>238</v>
      </c>
      <c r="K10" s="136" t="s">
        <v>238</v>
      </c>
      <c r="L10" s="118"/>
    </row>
    <row r="11" spans="1:28" ht="50.25" customHeight="1">
      <c r="A11" s="137" t="s">
        <v>253</v>
      </c>
      <c r="B11" s="134" t="s">
        <v>185</v>
      </c>
      <c r="C11" s="132" t="s">
        <v>254</v>
      </c>
      <c r="D11" s="138">
        <v>9175</v>
      </c>
      <c r="E11" s="134" t="s">
        <v>255</v>
      </c>
      <c r="F11" s="135" t="s">
        <v>246</v>
      </c>
      <c r="G11" s="135" t="s">
        <v>252</v>
      </c>
      <c r="H11" s="136" t="s">
        <v>238</v>
      </c>
      <c r="I11" s="136" t="s">
        <v>238</v>
      </c>
      <c r="J11" s="136" t="s">
        <v>238</v>
      </c>
      <c r="K11" s="136" t="s">
        <v>238</v>
      </c>
      <c r="L11" s="118"/>
    </row>
    <row r="12" spans="1:28" ht="51" customHeight="1">
      <c r="A12" s="237" t="s">
        <v>256</v>
      </c>
      <c r="B12" s="134" t="s">
        <v>257</v>
      </c>
      <c r="C12" s="134" t="s">
        <v>258</v>
      </c>
      <c r="D12" s="134">
        <v>733</v>
      </c>
      <c r="E12" s="139" t="s">
        <v>259</v>
      </c>
      <c r="F12" s="134" t="s">
        <v>260</v>
      </c>
      <c r="G12" s="134" t="s">
        <v>261</v>
      </c>
      <c r="H12" s="140">
        <f>D12*(0.98/0.02)</f>
        <v>35917</v>
      </c>
      <c r="I12" s="139" t="s">
        <v>262</v>
      </c>
      <c r="J12" s="134" t="s">
        <v>263</v>
      </c>
      <c r="K12" s="134" t="s">
        <v>264</v>
      </c>
      <c r="L12" s="118"/>
    </row>
    <row r="13" spans="1:28" ht="42.75">
      <c r="A13" s="237"/>
      <c r="B13" s="134" t="s">
        <v>265</v>
      </c>
      <c r="C13" s="134" t="s">
        <v>266</v>
      </c>
      <c r="D13" s="134">
        <v>20</v>
      </c>
      <c r="E13" s="132" t="s">
        <v>267</v>
      </c>
      <c r="F13" s="141" t="s">
        <v>268</v>
      </c>
      <c r="G13" s="134" t="s">
        <v>269</v>
      </c>
      <c r="H13" s="140">
        <f>D13*(0.98/0.02)</f>
        <v>980</v>
      </c>
      <c r="I13" s="132" t="s">
        <v>270</v>
      </c>
      <c r="J13" s="141" t="s">
        <v>271</v>
      </c>
      <c r="K13" s="134" t="s">
        <v>272</v>
      </c>
      <c r="L13" s="118"/>
    </row>
    <row r="14" spans="1:28" ht="51">
      <c r="A14" s="130" t="s">
        <v>273</v>
      </c>
      <c r="B14" s="142"/>
      <c r="C14" s="142"/>
      <c r="D14" s="142"/>
      <c r="E14" s="143"/>
      <c r="F14" s="142"/>
      <c r="G14" s="142"/>
      <c r="H14" s="143"/>
      <c r="I14" s="142"/>
      <c r="J14" s="142"/>
      <c r="K14" s="144"/>
      <c r="L14" s="118"/>
    </row>
    <row r="15" spans="1:28" ht="89.25">
      <c r="A15" s="145" t="s">
        <v>274</v>
      </c>
      <c r="B15" s="131" t="s">
        <v>187</v>
      </c>
      <c r="C15" s="131" t="s">
        <v>275</v>
      </c>
      <c r="D15" s="133">
        <v>5.28</v>
      </c>
      <c r="E15" s="132" t="s">
        <v>276</v>
      </c>
      <c r="F15" s="146" t="s">
        <v>277</v>
      </c>
      <c r="G15" s="134" t="s">
        <v>278</v>
      </c>
      <c r="H15" s="136" t="s">
        <v>238</v>
      </c>
      <c r="I15" s="136" t="s">
        <v>238</v>
      </c>
      <c r="J15" s="136" t="s">
        <v>238</v>
      </c>
      <c r="K15" s="136" t="s">
        <v>238</v>
      </c>
      <c r="L15" s="118"/>
    </row>
    <row r="16" spans="1:28" ht="28.5">
      <c r="A16" s="147" t="s">
        <v>279</v>
      </c>
      <c r="B16" s="131" t="s">
        <v>188</v>
      </c>
      <c r="C16" s="131" t="s">
        <v>280</v>
      </c>
      <c r="D16" s="134">
        <v>21.87</v>
      </c>
      <c r="E16" s="134" t="s">
        <v>281</v>
      </c>
      <c r="F16" s="148" t="s">
        <v>282</v>
      </c>
      <c r="G16" s="134" t="s">
        <v>283</v>
      </c>
      <c r="H16" s="136" t="s">
        <v>238</v>
      </c>
      <c r="I16" s="136" t="s">
        <v>238</v>
      </c>
      <c r="J16" s="136" t="s">
        <v>238</v>
      </c>
      <c r="K16" s="136" t="s">
        <v>238</v>
      </c>
      <c r="L16" s="118"/>
    </row>
    <row r="17" spans="1:12" ht="53.25" customHeight="1">
      <c r="A17" s="149" t="s">
        <v>284</v>
      </c>
      <c r="B17" s="131" t="s">
        <v>285</v>
      </c>
      <c r="C17" s="131" t="s">
        <v>286</v>
      </c>
      <c r="D17" s="138">
        <v>15205</v>
      </c>
      <c r="E17" s="134" t="s">
        <v>287</v>
      </c>
      <c r="F17" s="134" t="s">
        <v>288</v>
      </c>
      <c r="G17" s="134" t="s">
        <v>289</v>
      </c>
      <c r="H17" s="136" t="s">
        <v>238</v>
      </c>
      <c r="I17" s="136" t="s">
        <v>238</v>
      </c>
      <c r="J17" s="136" t="s">
        <v>238</v>
      </c>
      <c r="K17" s="136" t="s">
        <v>238</v>
      </c>
      <c r="L17" s="118"/>
    </row>
    <row r="18" spans="1:12" ht="66.75" customHeight="1">
      <c r="A18" s="137" t="s">
        <v>290</v>
      </c>
      <c r="B18" s="139" t="s">
        <v>291</v>
      </c>
      <c r="C18" s="139" t="s">
        <v>292</v>
      </c>
      <c r="D18" s="150" t="s">
        <v>238</v>
      </c>
      <c r="E18" s="150" t="s">
        <v>238</v>
      </c>
      <c r="F18" s="238" t="s">
        <v>293</v>
      </c>
      <c r="G18" s="238"/>
      <c r="H18" s="151" t="s">
        <v>238</v>
      </c>
      <c r="I18" s="151" t="s">
        <v>238</v>
      </c>
      <c r="J18" s="151" t="s">
        <v>238</v>
      </c>
      <c r="K18" s="151" t="s">
        <v>238</v>
      </c>
      <c r="L18" s="118"/>
    </row>
    <row r="19" spans="1:12" ht="321">
      <c r="A19" s="137" t="s">
        <v>294</v>
      </c>
      <c r="B19" s="139" t="s">
        <v>295</v>
      </c>
      <c r="C19" s="139" t="s">
        <v>296</v>
      </c>
      <c r="D19" s="152">
        <f>0.788*0.02*10^6*0.000404</f>
        <v>6.3670400000000003</v>
      </c>
      <c r="E19" s="153" t="s">
        <v>297</v>
      </c>
      <c r="F19" s="139" t="s">
        <v>298</v>
      </c>
      <c r="G19" s="139" t="s">
        <v>299</v>
      </c>
      <c r="H19" s="152">
        <f>54.71*(10^6/10^15)*1235*10^6</f>
        <v>67.566850000000002</v>
      </c>
      <c r="I19" s="153" t="s">
        <v>297</v>
      </c>
      <c r="J19" s="139" t="s">
        <v>300</v>
      </c>
      <c r="K19" s="139" t="s">
        <v>301</v>
      </c>
      <c r="L19" s="118"/>
    </row>
    <row r="20" spans="1:12" ht="66.75">
      <c r="A20" s="137" t="s">
        <v>302</v>
      </c>
      <c r="B20" s="131" t="s">
        <v>303</v>
      </c>
      <c r="C20" s="131" t="s">
        <v>304</v>
      </c>
      <c r="D20" s="154">
        <v>2.6670000000000001E-3</v>
      </c>
      <c r="E20" s="135" t="s">
        <v>305</v>
      </c>
      <c r="F20" s="137" t="s">
        <v>306</v>
      </c>
      <c r="G20" s="131" t="s">
        <v>307</v>
      </c>
      <c r="H20" s="136" t="s">
        <v>238</v>
      </c>
      <c r="I20" s="136" t="s">
        <v>238</v>
      </c>
      <c r="J20" s="136" t="s">
        <v>238</v>
      </c>
      <c r="K20" s="136" t="s">
        <v>238</v>
      </c>
      <c r="L20" s="118"/>
    </row>
    <row r="21" spans="1:12" ht="66.75" customHeight="1">
      <c r="A21" s="137" t="s">
        <v>308</v>
      </c>
      <c r="B21" s="139" t="s">
        <v>291</v>
      </c>
      <c r="C21" s="139" t="s">
        <v>292</v>
      </c>
      <c r="D21" s="150" t="s">
        <v>238</v>
      </c>
      <c r="E21" s="150" t="s">
        <v>238</v>
      </c>
      <c r="F21" s="238" t="s">
        <v>293</v>
      </c>
      <c r="G21" s="238"/>
      <c r="H21" s="151" t="s">
        <v>238</v>
      </c>
      <c r="I21" s="151" t="s">
        <v>238</v>
      </c>
      <c r="J21" s="151" t="s">
        <v>238</v>
      </c>
      <c r="K21" s="151" t="s">
        <v>238</v>
      </c>
      <c r="L21" s="118"/>
    </row>
    <row r="22" spans="1:12" s="155" customFormat="1" ht="185.25">
      <c r="A22" s="137" t="s">
        <v>309</v>
      </c>
      <c r="B22" s="134" t="s">
        <v>285</v>
      </c>
      <c r="C22" s="134" t="s">
        <v>286</v>
      </c>
      <c r="D22" s="140">
        <f>150/0.02832</f>
        <v>5296.6101694915251</v>
      </c>
      <c r="E22" s="139" t="s">
        <v>310</v>
      </c>
      <c r="F22" s="137" t="s">
        <v>311</v>
      </c>
      <c r="G22" s="134" t="s">
        <v>312</v>
      </c>
      <c r="H22" s="151" t="s">
        <v>238</v>
      </c>
      <c r="I22" s="151" t="s">
        <v>238</v>
      </c>
      <c r="J22" s="151" t="s">
        <v>238</v>
      </c>
      <c r="K22" s="151" t="s">
        <v>238</v>
      </c>
      <c r="L22" s="118"/>
    </row>
    <row r="23" spans="1:12" s="155" customFormat="1" ht="53.25" customHeight="1">
      <c r="A23" s="137" t="s">
        <v>313</v>
      </c>
      <c r="B23" s="134" t="s">
        <v>233</v>
      </c>
      <c r="C23" s="139" t="s">
        <v>314</v>
      </c>
      <c r="D23" s="152">
        <f>B52*10^9/(455015+525000)*$C$62</f>
        <v>5.3591016464033716</v>
      </c>
      <c r="E23" s="156" t="s">
        <v>315</v>
      </c>
      <c r="F23" s="132" t="s">
        <v>316</v>
      </c>
      <c r="G23" s="134" t="s">
        <v>317</v>
      </c>
      <c r="H23" s="151" t="s">
        <v>238</v>
      </c>
      <c r="I23" s="151" t="s">
        <v>238</v>
      </c>
      <c r="J23" s="151" t="s">
        <v>238</v>
      </c>
      <c r="K23" s="151" t="s">
        <v>238</v>
      </c>
      <c r="L23" s="118"/>
    </row>
    <row r="24" spans="1:12" s="155" customFormat="1" ht="114.75">
      <c r="A24" s="137" t="s">
        <v>318</v>
      </c>
      <c r="B24" s="142"/>
      <c r="C24" s="142"/>
      <c r="D24" s="157"/>
      <c r="E24" s="158"/>
      <c r="F24" s="142"/>
      <c r="G24" s="142"/>
      <c r="H24" s="142"/>
      <c r="I24" s="142"/>
      <c r="J24" s="142"/>
      <c r="K24" s="144"/>
      <c r="L24" s="118"/>
    </row>
    <row r="25" spans="1:12" ht="146.25">
      <c r="A25" s="159" t="s">
        <v>319</v>
      </c>
      <c r="B25" s="134" t="s">
        <v>320</v>
      </c>
      <c r="C25" s="134" t="s">
        <v>321</v>
      </c>
      <c r="D25" s="160">
        <f>H25*(0.02/0.98)</f>
        <v>13.143059887163062</v>
      </c>
      <c r="E25" s="132" t="s">
        <v>322</v>
      </c>
      <c r="F25" s="141" t="s">
        <v>323</v>
      </c>
      <c r="G25" s="134" t="s">
        <v>324</v>
      </c>
      <c r="H25" s="138">
        <f>(0.0781/10^6)*(1/0.293)*745.7*90*24*1500</f>
        <v>644.00993447098995</v>
      </c>
      <c r="I25" s="132" t="s">
        <v>325</v>
      </c>
      <c r="J25" s="141" t="s">
        <v>323</v>
      </c>
      <c r="K25" s="134" t="s">
        <v>326</v>
      </c>
      <c r="L25" s="118"/>
    </row>
    <row r="26" spans="1:12" ht="146.25">
      <c r="A26" s="159" t="s">
        <v>327</v>
      </c>
      <c r="B26" s="134" t="s">
        <v>320</v>
      </c>
      <c r="C26" s="134" t="s">
        <v>328</v>
      </c>
      <c r="D26" s="161">
        <f>H26*(0.02/0.98)</f>
        <v>13.143059887163062</v>
      </c>
      <c r="E26" s="132" t="s">
        <v>322</v>
      </c>
      <c r="F26" s="141" t="s">
        <v>323</v>
      </c>
      <c r="G26" s="134" t="s">
        <v>324</v>
      </c>
      <c r="H26" s="138">
        <f>(0.0781/10^6)*(1/0.293)*745.7*90*24*1500</f>
        <v>644.00993447098995</v>
      </c>
      <c r="I26" s="132" t="s">
        <v>325</v>
      </c>
      <c r="J26" s="141" t="s">
        <v>323</v>
      </c>
      <c r="K26" s="134" t="s">
        <v>326</v>
      </c>
      <c r="L26" s="118"/>
    </row>
    <row r="27" spans="1:12" ht="228.75">
      <c r="A27" s="239" t="s">
        <v>329</v>
      </c>
      <c r="B27" s="134" t="s">
        <v>330</v>
      </c>
      <c r="C27" s="134" t="s">
        <v>331</v>
      </c>
      <c r="D27" s="162">
        <v>0.24</v>
      </c>
      <c r="E27" s="132" t="s">
        <v>332</v>
      </c>
      <c r="F27" s="141" t="s">
        <v>333</v>
      </c>
      <c r="G27" s="134" t="s">
        <v>334</v>
      </c>
      <c r="H27" s="163">
        <f>0.0531*15992</f>
        <v>849.17520000000002</v>
      </c>
      <c r="I27" s="139" t="s">
        <v>335</v>
      </c>
      <c r="J27" s="141" t="s">
        <v>336</v>
      </c>
      <c r="K27" s="134" t="s">
        <v>337</v>
      </c>
      <c r="L27" s="118"/>
    </row>
    <row r="28" spans="1:12" ht="409.5">
      <c r="A28" s="239"/>
      <c r="B28" s="134" t="s">
        <v>338</v>
      </c>
      <c r="C28" s="134" t="s">
        <v>339</v>
      </c>
      <c r="D28" s="140">
        <f>D27*1000000*(52434/32233)</f>
        <v>390412.31036515371</v>
      </c>
      <c r="E28" s="132" t="s">
        <v>340</v>
      </c>
      <c r="F28" s="141" t="s">
        <v>341</v>
      </c>
      <c r="G28" s="134" t="s">
        <v>342</v>
      </c>
      <c r="H28" s="138">
        <f>H27*(52434/32233)</f>
        <v>1381.3685489032978</v>
      </c>
      <c r="I28" s="132" t="s">
        <v>343</v>
      </c>
      <c r="J28" s="141" t="s">
        <v>344</v>
      </c>
      <c r="K28" s="132" t="s">
        <v>342</v>
      </c>
      <c r="L28" s="118"/>
    </row>
    <row r="29" spans="1:12" ht="15.75" customHeight="1">
      <c r="A29" s="240" t="s">
        <v>213</v>
      </c>
      <c r="B29" s="240"/>
      <c r="C29" s="240"/>
      <c r="D29" s="164"/>
      <c r="E29" s="165"/>
      <c r="F29" s="166"/>
      <c r="G29" s="167"/>
      <c r="H29" s="164"/>
      <c r="I29" s="119"/>
      <c r="J29" s="119"/>
      <c r="K29" s="119"/>
      <c r="L29" s="118"/>
    </row>
    <row r="30" spans="1:12" ht="14.25">
      <c r="A30" s="241" t="s">
        <v>345</v>
      </c>
      <c r="B30" s="241"/>
      <c r="C30" s="241"/>
      <c r="D30" s="168"/>
      <c r="E30" s="169"/>
      <c r="F30" s="170"/>
      <c r="G30" s="171"/>
      <c r="H30" s="168"/>
      <c r="I30" s="119"/>
      <c r="J30" s="119"/>
      <c r="K30" s="119"/>
      <c r="L30" s="118"/>
    </row>
    <row r="31" spans="1:12" ht="29.25" customHeight="1">
      <c r="A31" s="237" t="s">
        <v>346</v>
      </c>
      <c r="B31" s="237"/>
      <c r="C31" s="237"/>
      <c r="D31" s="168"/>
      <c r="E31" s="169"/>
      <c r="F31" s="170"/>
      <c r="G31" s="171"/>
      <c r="H31" s="168"/>
      <c r="I31" s="119"/>
      <c r="J31" s="119"/>
      <c r="K31" s="119"/>
      <c r="L31" s="118"/>
    </row>
    <row r="32" spans="1:12" ht="44.25" customHeight="1">
      <c r="A32" s="237" t="s">
        <v>347</v>
      </c>
      <c r="B32" s="237"/>
      <c r="C32" s="237"/>
      <c r="D32" s="168"/>
      <c r="E32" s="169"/>
      <c r="F32" s="170"/>
      <c r="G32" s="171"/>
      <c r="H32" s="168"/>
      <c r="I32" s="119"/>
      <c r="J32" s="119"/>
      <c r="K32" s="119"/>
      <c r="L32" s="118"/>
    </row>
    <row r="33" spans="1:12" ht="14.25">
      <c r="A33" s="237" t="s">
        <v>348</v>
      </c>
      <c r="B33" s="237"/>
      <c r="C33" s="237"/>
      <c r="D33" s="118"/>
      <c r="E33" s="169"/>
      <c r="F33" s="170"/>
      <c r="G33" s="171"/>
      <c r="H33" s="168"/>
      <c r="I33" s="119"/>
      <c r="J33" s="119"/>
      <c r="K33" s="119"/>
      <c r="L33" s="118"/>
    </row>
    <row r="34" spans="1:12" ht="43.5" customHeight="1">
      <c r="A34" s="242" t="s">
        <v>349</v>
      </c>
      <c r="B34" s="242"/>
      <c r="C34" s="242"/>
      <c r="D34" s="119" t="s">
        <v>350</v>
      </c>
      <c r="E34" s="169"/>
      <c r="F34" s="170"/>
      <c r="G34" s="171"/>
      <c r="H34" s="168"/>
      <c r="I34" s="119"/>
      <c r="J34" s="119"/>
      <c r="K34" s="119"/>
      <c r="L34" s="118"/>
    </row>
    <row r="35" spans="1:12" ht="12.75" customHeight="1">
      <c r="A35" s="236" t="s">
        <v>351</v>
      </c>
      <c r="B35" s="236"/>
      <c r="C35" s="236"/>
      <c r="D35" s="119"/>
      <c r="E35" s="169"/>
      <c r="F35" s="170"/>
      <c r="G35" s="171"/>
      <c r="H35" s="168"/>
      <c r="I35" s="119"/>
      <c r="J35" s="119"/>
      <c r="K35" s="119"/>
      <c r="L35" s="118"/>
    </row>
    <row r="36" spans="1:12" ht="14.25">
      <c r="A36" s="118"/>
      <c r="B36" s="118"/>
      <c r="C36" s="172"/>
      <c r="D36" s="172"/>
      <c r="E36" s="118"/>
      <c r="F36" s="118"/>
      <c r="G36" s="171"/>
      <c r="H36" s="168"/>
      <c r="I36" s="119"/>
      <c r="J36" s="119"/>
      <c r="K36" s="119"/>
      <c r="L36" s="118"/>
    </row>
    <row r="37" spans="1:12" ht="14.25">
      <c r="A37" s="118"/>
      <c r="B37" s="118"/>
      <c r="C37" s="118"/>
      <c r="D37" s="118"/>
      <c r="E37" s="118"/>
      <c r="F37" s="118"/>
      <c r="G37" s="119"/>
      <c r="H37" s="118"/>
      <c r="I37" s="118"/>
      <c r="J37" s="118"/>
      <c r="K37" s="118"/>
      <c r="L37" s="118"/>
    </row>
    <row r="38" spans="1:12" ht="14.25">
      <c r="A38" s="118"/>
      <c r="B38" s="118"/>
      <c r="C38" s="118"/>
      <c r="D38" s="118"/>
      <c r="E38" s="118"/>
      <c r="F38" s="118"/>
      <c r="G38" s="119"/>
      <c r="H38" s="118"/>
      <c r="I38" s="118"/>
      <c r="J38" s="118"/>
      <c r="K38" s="118"/>
      <c r="L38" s="118"/>
    </row>
    <row r="39" spans="1:12" ht="14.25">
      <c r="A39" s="173" t="s">
        <v>352</v>
      </c>
      <c r="B39" s="174"/>
      <c r="C39" s="118"/>
      <c r="D39" s="118"/>
      <c r="E39" s="118"/>
      <c r="F39" s="118"/>
      <c r="G39" s="119"/>
      <c r="H39" s="118"/>
      <c r="I39" s="118"/>
      <c r="J39" s="118"/>
      <c r="K39" s="118"/>
      <c r="L39" s="118"/>
    </row>
    <row r="40" spans="1:12" ht="15">
      <c r="A40" s="175" t="s">
        <v>353</v>
      </c>
      <c r="B40" s="175"/>
      <c r="C40" s="118"/>
      <c r="D40" s="118"/>
      <c r="E40" s="118"/>
      <c r="F40" s="118"/>
      <c r="G40" s="119"/>
      <c r="H40" s="118"/>
      <c r="I40" s="118"/>
      <c r="J40" s="118"/>
      <c r="K40" s="118"/>
      <c r="L40" s="118"/>
    </row>
    <row r="41" spans="1:12" ht="29.25" customHeight="1">
      <c r="A41" s="232" t="s">
        <v>354</v>
      </c>
      <c r="B41" s="232"/>
      <c r="C41" s="122"/>
      <c r="D41" s="118"/>
      <c r="E41" s="118"/>
      <c r="F41" s="118"/>
      <c r="G41" s="119"/>
      <c r="H41" s="118"/>
      <c r="I41" s="118"/>
      <c r="J41" s="118"/>
      <c r="K41" s="118"/>
      <c r="L41" s="118"/>
    </row>
    <row r="42" spans="1:12" ht="29.25" customHeight="1">
      <c r="A42" s="232" t="s">
        <v>246</v>
      </c>
      <c r="B42" s="232"/>
      <c r="C42" s="122"/>
      <c r="D42" s="118"/>
      <c r="E42" s="118"/>
      <c r="F42" s="118"/>
      <c r="G42" s="119"/>
      <c r="H42" s="118"/>
      <c r="I42" s="118"/>
      <c r="J42" s="118"/>
      <c r="K42" s="118"/>
      <c r="L42" s="118"/>
    </row>
    <row r="43" spans="1:12" ht="14.25">
      <c r="A43" s="118"/>
      <c r="B43" s="118"/>
      <c r="C43" s="118"/>
      <c r="D43" s="118"/>
      <c r="E43" s="118"/>
      <c r="F43" s="118"/>
      <c r="G43" s="119"/>
      <c r="H43" s="118"/>
      <c r="I43" s="118"/>
      <c r="J43" s="118"/>
      <c r="K43" s="118"/>
      <c r="L43" s="118"/>
    </row>
    <row r="44" spans="1:12" ht="42.75" customHeight="1">
      <c r="A44" s="176" t="s">
        <v>353</v>
      </c>
      <c r="B44" s="177" t="s">
        <v>355</v>
      </c>
      <c r="C44" s="178"/>
      <c r="D44" s="179"/>
      <c r="E44" s="179"/>
      <c r="F44" s="118"/>
      <c r="G44" s="119"/>
      <c r="H44" s="180"/>
      <c r="I44" s="181"/>
      <c r="J44" s="182"/>
      <c r="K44" s="183"/>
      <c r="L44" s="118"/>
    </row>
    <row r="45" spans="1:12" ht="14.25">
      <c r="A45" s="131" t="s">
        <v>356</v>
      </c>
      <c r="B45" s="184">
        <v>141</v>
      </c>
      <c r="C45" s="185"/>
      <c r="D45" s="182"/>
      <c r="E45" s="183"/>
      <c r="F45" s="118"/>
      <c r="G45" s="119"/>
      <c r="H45" s="180"/>
      <c r="I45" s="181"/>
      <c r="J45" s="182"/>
      <c r="K45" s="183"/>
      <c r="L45" s="118"/>
    </row>
    <row r="46" spans="1:12" ht="14.25">
      <c r="A46" s="131" t="s">
        <v>357</v>
      </c>
      <c r="B46" s="184">
        <v>80</v>
      </c>
      <c r="C46" s="185"/>
      <c r="D46" s="182"/>
      <c r="E46" s="183"/>
      <c r="F46" s="118"/>
      <c r="G46" s="119"/>
      <c r="H46" s="180"/>
      <c r="I46" s="181"/>
      <c r="J46" s="182"/>
      <c r="K46" s="183"/>
      <c r="L46" s="118"/>
    </row>
    <row r="47" spans="1:12" ht="14.25">
      <c r="A47" s="131" t="s">
        <v>358</v>
      </c>
      <c r="B47" s="184">
        <v>77</v>
      </c>
      <c r="C47" s="185"/>
      <c r="D47" s="182"/>
      <c r="E47" s="183"/>
      <c r="F47" s="118"/>
      <c r="G47" s="119"/>
      <c r="H47" s="180"/>
      <c r="I47" s="181"/>
      <c r="J47" s="182"/>
      <c r="K47" s="183"/>
      <c r="L47" s="118"/>
    </row>
    <row r="48" spans="1:12" ht="14.25">
      <c r="A48" s="131" t="s">
        <v>359</v>
      </c>
      <c r="B48" s="184">
        <v>27</v>
      </c>
      <c r="C48" s="185"/>
      <c r="D48" s="182"/>
      <c r="E48" s="186"/>
      <c r="F48" s="118"/>
      <c r="G48" s="119"/>
      <c r="H48" s="180"/>
      <c r="I48" s="181"/>
      <c r="J48" s="182"/>
      <c r="K48" s="183"/>
      <c r="L48" s="118"/>
    </row>
    <row r="49" spans="1:12" ht="14.25">
      <c r="A49" s="131" t="s">
        <v>360</v>
      </c>
      <c r="B49" s="184">
        <v>11</v>
      </c>
      <c r="C49" s="185"/>
      <c r="D49" s="182"/>
      <c r="E49" s="186"/>
      <c r="F49" s="118"/>
      <c r="G49" s="119"/>
      <c r="H49" s="180"/>
      <c r="I49" s="181"/>
      <c r="J49" s="182"/>
      <c r="K49" s="183"/>
      <c r="L49" s="118"/>
    </row>
    <row r="50" spans="1:12" ht="14.25">
      <c r="A50" s="131" t="s">
        <v>361</v>
      </c>
      <c r="B50" s="184">
        <v>7</v>
      </c>
      <c r="C50" s="185"/>
      <c r="D50" s="182"/>
      <c r="E50" s="186"/>
      <c r="F50" s="118"/>
      <c r="G50" s="119"/>
      <c r="H50" s="180"/>
      <c r="I50" s="181"/>
      <c r="J50" s="182"/>
      <c r="K50" s="183"/>
      <c r="L50" s="118"/>
    </row>
    <row r="51" spans="1:12" ht="14.25">
      <c r="A51" s="131" t="s">
        <v>362</v>
      </c>
      <c r="B51" s="184">
        <v>7</v>
      </c>
      <c r="C51" s="185"/>
      <c r="D51" s="182"/>
      <c r="E51" s="183"/>
      <c r="F51" s="118"/>
      <c r="G51" s="119"/>
      <c r="H51" s="180"/>
      <c r="I51" s="181"/>
      <c r="J51" s="182"/>
      <c r="K51" s="183"/>
      <c r="L51" s="118"/>
    </row>
    <row r="52" spans="1:12" ht="14.25">
      <c r="A52" s="131" t="s">
        <v>363</v>
      </c>
      <c r="B52" s="184">
        <v>13</v>
      </c>
      <c r="C52" s="185"/>
      <c r="D52" s="182"/>
      <c r="E52" s="183"/>
      <c r="F52" s="118"/>
      <c r="G52" s="119"/>
      <c r="H52" s="180"/>
      <c r="I52" s="181"/>
      <c r="J52" s="182"/>
      <c r="K52" s="183"/>
      <c r="L52" s="118"/>
    </row>
    <row r="53" spans="1:12" ht="14.25">
      <c r="A53" s="131" t="s">
        <v>364</v>
      </c>
      <c r="B53" s="184">
        <v>24</v>
      </c>
      <c r="C53" s="185"/>
      <c r="D53" s="182"/>
      <c r="E53" s="187"/>
      <c r="F53" s="118"/>
      <c r="G53" s="119"/>
      <c r="H53" s="180"/>
      <c r="I53" s="181"/>
      <c r="J53" s="182"/>
      <c r="K53" s="183"/>
      <c r="L53" s="118"/>
    </row>
    <row r="54" spans="1:12" ht="14.25">
      <c r="A54" s="188" t="s">
        <v>365</v>
      </c>
      <c r="B54" s="189">
        <f>SUM(B45:B53)</f>
        <v>387</v>
      </c>
      <c r="C54" s="185"/>
      <c r="D54" s="190"/>
      <c r="E54" s="118"/>
      <c r="F54" s="118"/>
      <c r="G54" s="119"/>
      <c r="H54" s="180"/>
      <c r="I54" s="181"/>
      <c r="J54" s="182"/>
      <c r="K54" s="183"/>
      <c r="L54" s="118"/>
    </row>
    <row r="55" spans="1:12" ht="14.25">
      <c r="A55" s="191" t="s">
        <v>366</v>
      </c>
      <c r="B55" s="192">
        <f>B54-B53</f>
        <v>363</v>
      </c>
      <c r="C55" s="185"/>
      <c r="D55" s="193"/>
      <c r="E55" s="118"/>
      <c r="F55" s="118"/>
      <c r="G55" s="119"/>
      <c r="H55" s="180"/>
      <c r="I55" s="181"/>
      <c r="J55" s="182"/>
      <c r="K55" s="183"/>
      <c r="L55" s="118"/>
    </row>
    <row r="56" spans="1:12" ht="25.5" customHeight="1">
      <c r="A56" s="233" t="s">
        <v>367</v>
      </c>
      <c r="B56" s="233"/>
      <c r="C56" s="194"/>
      <c r="D56" s="183"/>
      <c r="E56" s="118"/>
      <c r="F56" s="118"/>
      <c r="G56" s="119"/>
      <c r="H56" s="180"/>
      <c r="I56" s="181"/>
      <c r="J56" s="182"/>
      <c r="K56" s="183"/>
      <c r="L56" s="118"/>
    </row>
    <row r="57" spans="1:12" ht="14.25">
      <c r="A57" s="118"/>
      <c r="B57" s="118"/>
      <c r="C57" s="118"/>
      <c r="D57" s="118"/>
      <c r="E57" s="118"/>
      <c r="F57" s="118"/>
      <c r="G57" s="119"/>
      <c r="H57" s="180"/>
      <c r="I57" s="181"/>
      <c r="J57" s="182"/>
      <c r="K57" s="183"/>
      <c r="L57" s="118"/>
    </row>
    <row r="58" spans="1:12" ht="14.25">
      <c r="A58" s="118"/>
      <c r="B58" s="118"/>
      <c r="C58" s="118"/>
      <c r="D58" s="118"/>
      <c r="E58" s="118"/>
      <c r="F58" s="118"/>
      <c r="G58" s="119"/>
      <c r="H58" s="180"/>
      <c r="I58" s="181"/>
      <c r="J58" s="182"/>
      <c r="K58" s="183"/>
      <c r="L58" s="118"/>
    </row>
    <row r="59" spans="1:12" ht="14.25">
      <c r="A59" s="118"/>
      <c r="B59" s="118"/>
      <c r="C59" s="118"/>
      <c r="D59" s="186"/>
      <c r="E59" s="195"/>
      <c r="G59" s="119"/>
      <c r="H59" s="187"/>
      <c r="I59" s="195"/>
      <c r="J59" s="195"/>
      <c r="K59" s="196"/>
      <c r="L59" s="118"/>
    </row>
    <row r="60" spans="1:12" ht="20.25">
      <c r="A60" s="197" t="s">
        <v>368</v>
      </c>
      <c r="B60" s="198"/>
      <c r="C60" s="199"/>
      <c r="D60" s="186"/>
      <c r="E60" s="195"/>
      <c r="F60" s="118"/>
      <c r="G60" s="119"/>
      <c r="H60" s="118"/>
      <c r="I60" s="118"/>
      <c r="J60" s="118"/>
      <c r="K60" s="118"/>
      <c r="L60" s="118"/>
    </row>
    <row r="61" spans="1:12" ht="14.25">
      <c r="A61" s="200" t="s">
        <v>369</v>
      </c>
      <c r="B61" s="200" t="s">
        <v>370</v>
      </c>
      <c r="C61" s="200" t="s">
        <v>371</v>
      </c>
      <c r="D61" s="201"/>
      <c r="E61" s="118"/>
      <c r="F61" s="118"/>
      <c r="G61" s="119"/>
      <c r="H61" s="118"/>
      <c r="I61" s="118"/>
      <c r="J61" s="118"/>
      <c r="K61" s="118"/>
      <c r="L61" s="118"/>
    </row>
    <row r="62" spans="1:12" ht="15.75">
      <c r="A62" s="202" t="s">
        <v>372</v>
      </c>
      <c r="B62" s="202" t="s">
        <v>373</v>
      </c>
      <c r="C62" s="202">
        <v>4.0400000000000001E-4</v>
      </c>
      <c r="D62" s="201"/>
      <c r="E62" s="118"/>
      <c r="F62" s="118"/>
      <c r="G62" s="119"/>
      <c r="H62" s="118"/>
      <c r="I62" s="118"/>
      <c r="J62" s="118"/>
      <c r="K62" s="118"/>
      <c r="L62" s="118"/>
    </row>
    <row r="63" spans="1:12" ht="15.75">
      <c r="A63" s="202" t="s">
        <v>374</v>
      </c>
      <c r="B63" s="202" t="s">
        <v>373</v>
      </c>
      <c r="C63" s="203">
        <f>52.62/1000000</f>
        <v>5.2619999999999994E-5</v>
      </c>
      <c r="D63" s="204"/>
      <c r="E63" s="118"/>
      <c r="F63" s="118"/>
      <c r="G63" s="119"/>
      <c r="H63" s="118"/>
      <c r="I63" s="118"/>
      <c r="J63" s="118"/>
      <c r="K63" s="118"/>
      <c r="L63" s="118"/>
    </row>
    <row r="64" spans="1:12" ht="15.75">
      <c r="A64" s="202" t="s">
        <v>375</v>
      </c>
      <c r="B64" s="202" t="s">
        <v>376</v>
      </c>
      <c r="C64" s="205">
        <v>28</v>
      </c>
      <c r="D64" s="118"/>
      <c r="E64" s="118"/>
      <c r="F64" s="118"/>
      <c r="G64" s="119"/>
      <c r="H64" s="118"/>
      <c r="I64" s="118"/>
      <c r="J64" s="118"/>
      <c r="K64" s="118"/>
      <c r="L64" s="118"/>
    </row>
    <row r="65" spans="1:12" ht="15.75">
      <c r="A65" s="234" t="s">
        <v>377</v>
      </c>
      <c r="B65" s="234"/>
      <c r="C65" s="234"/>
      <c r="D65" s="118"/>
      <c r="E65" s="118"/>
      <c r="F65" s="118"/>
      <c r="G65" s="119"/>
      <c r="H65" s="118"/>
      <c r="I65" s="118"/>
      <c r="J65" s="118"/>
      <c r="K65" s="118"/>
      <c r="L65" s="118"/>
    </row>
    <row r="66" spans="1:12" ht="14.25">
      <c r="A66" s="206"/>
      <c r="B66" s="207"/>
      <c r="C66" s="118"/>
      <c r="D66" s="118"/>
      <c r="E66" s="118"/>
      <c r="F66" s="118"/>
      <c r="G66" s="119"/>
      <c r="H66" s="118"/>
      <c r="I66" s="118"/>
      <c r="J66" s="118"/>
      <c r="K66" s="118"/>
      <c r="L66" s="118"/>
    </row>
    <row r="67" spans="1:12" ht="14.25">
      <c r="A67" s="206"/>
      <c r="B67" s="206"/>
      <c r="C67" s="118"/>
      <c r="D67" s="118"/>
      <c r="E67" s="118"/>
      <c r="F67" s="118"/>
      <c r="G67" s="119"/>
      <c r="H67" s="118"/>
      <c r="I67" s="118"/>
      <c r="J67" s="118"/>
      <c r="K67" s="118"/>
      <c r="L67" s="118"/>
    </row>
    <row r="69" spans="1:12" ht="12.75" customHeight="1">
      <c r="A69" s="235" t="s">
        <v>378</v>
      </c>
      <c r="B69" s="235"/>
      <c r="C69" s="235"/>
    </row>
    <row r="70" spans="1:12" ht="12.75" customHeight="1">
      <c r="A70" s="235"/>
      <c r="B70" s="235"/>
      <c r="C70" s="235"/>
    </row>
    <row r="71" spans="1:12" ht="12.75" customHeight="1">
      <c r="A71" s="235"/>
      <c r="B71" s="235"/>
      <c r="C71" s="235"/>
    </row>
    <row r="72" spans="1:12" ht="12.75" customHeight="1">
      <c r="A72" s="235"/>
      <c r="B72" s="235"/>
      <c r="C72" s="235"/>
    </row>
    <row r="73" spans="1:12" ht="12.75" customHeight="1">
      <c r="A73" s="235"/>
      <c r="B73" s="235"/>
      <c r="C73" s="235"/>
    </row>
    <row r="74" spans="1:12" ht="12.75" customHeight="1">
      <c r="A74" s="235"/>
      <c r="B74" s="235"/>
      <c r="C74" s="235"/>
    </row>
    <row r="75" spans="1:12" ht="12.75" customHeight="1">
      <c r="A75" s="235"/>
      <c r="B75" s="235"/>
      <c r="C75" s="235"/>
    </row>
    <row r="76" spans="1:12" ht="12.75" customHeight="1">
      <c r="A76" s="235"/>
      <c r="B76" s="235"/>
      <c r="C76" s="235"/>
    </row>
    <row r="77" spans="1:12" ht="12.75" customHeight="1">
      <c r="A77" s="235"/>
      <c r="B77" s="235"/>
      <c r="C77" s="235"/>
    </row>
    <row r="78" spans="1:12" ht="12.75" customHeight="1">
      <c r="A78" s="235"/>
      <c r="B78" s="235"/>
      <c r="C78" s="235"/>
    </row>
  </sheetData>
  <sheetProtection algorithmName="SHA-512" hashValue="2gBuFQVfCioNPP+FGqwjcLZ6vbci9fJyca0SmRbfACQ21QMwgwMlRLFEZG4qLN58bCVeeYp0UDbNnQ2/KeY9tg==" saltValue="P9wH3wFOwC+/SQvX1t9J8g==" spinCount="100000" sheet="1" objects="1" scenarios="1"/>
  <mergeCells count="17">
    <mergeCell ref="A35:C35"/>
    <mergeCell ref="A3:C3"/>
    <mergeCell ref="A12:A13"/>
    <mergeCell ref="F18:G18"/>
    <mergeCell ref="F21:G21"/>
    <mergeCell ref="A27:A28"/>
    <mergeCell ref="A29:C29"/>
    <mergeCell ref="A30:C30"/>
    <mergeCell ref="A31:C31"/>
    <mergeCell ref="A32:C32"/>
    <mergeCell ref="A33:C33"/>
    <mergeCell ref="A34:C34"/>
    <mergeCell ref="A41:B41"/>
    <mergeCell ref="A42:B42"/>
    <mergeCell ref="A56:B56"/>
    <mergeCell ref="A65:C65"/>
    <mergeCell ref="A69:C78"/>
  </mergeCells>
  <pageMargins left="0.70000000000000007" right="0.70000000000000007" top="1.1437000000000002" bottom="1.1437000000000002" header="0.75000000000000011" footer="0.75000000000000011"/>
  <pageSetup paperSize="0" fitToWidth="0" fitToHeight="0" orientation="portrait" horizontalDpi="0" verticalDpi="0" copies="0"/>
  <headerFooter alignWithMargins="0"/>
  <legacy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H79"/>
  <sheetViews>
    <sheetView topLeftCell="A46" workbookViewId="0">
      <selection activeCell="D79" sqref="D79"/>
    </sheetView>
  </sheetViews>
  <sheetFormatPr defaultRowHeight="14.25"/>
  <cols>
    <col min="1" max="1" width="33.375" customWidth="1"/>
    <col min="2" max="2" width="39" customWidth="1"/>
    <col min="3" max="3" width="19" customWidth="1"/>
    <col min="4" max="4" width="15.5" customWidth="1"/>
    <col min="5" max="5" width="18.375" customWidth="1"/>
    <col min="6" max="6" width="18" customWidth="1"/>
    <col min="7" max="1024" width="8" customWidth="1"/>
  </cols>
  <sheetData>
    <row r="1" spans="1:6" ht="18">
      <c r="A1" s="34" t="s">
        <v>84</v>
      </c>
    </row>
    <row r="2" spans="1:6" s="39" customFormat="1" ht="189">
      <c r="A2" s="35" t="s">
        <v>85</v>
      </c>
      <c r="B2" s="35" t="s">
        <v>86</v>
      </c>
      <c r="C2" s="35" t="s">
        <v>87</v>
      </c>
      <c r="D2" s="36" t="s">
        <v>88</v>
      </c>
      <c r="E2" s="37" t="s">
        <v>89</v>
      </c>
      <c r="F2" s="38" t="s">
        <v>90</v>
      </c>
    </row>
    <row r="3" spans="1:6">
      <c r="A3" t="s">
        <v>91</v>
      </c>
      <c r="B3" t="s">
        <v>92</v>
      </c>
      <c r="C3" t="s">
        <v>93</v>
      </c>
      <c r="D3" s="24">
        <v>11147649</v>
      </c>
      <c r="E3" s="40">
        <v>30990464.219999999</v>
      </c>
      <c r="F3" s="40">
        <v>4361517.67</v>
      </c>
    </row>
    <row r="4" spans="1:6">
      <c r="A4" t="s">
        <v>94</v>
      </c>
      <c r="B4" t="s">
        <v>92</v>
      </c>
      <c r="C4" t="s">
        <v>93</v>
      </c>
      <c r="D4" s="24">
        <v>10188867</v>
      </c>
      <c r="E4" s="40">
        <v>28325050.260000002</v>
      </c>
      <c r="F4" s="40">
        <v>3986394.21</v>
      </c>
    </row>
    <row r="5" spans="1:6">
      <c r="A5" t="s">
        <v>95</v>
      </c>
      <c r="B5" t="s">
        <v>92</v>
      </c>
      <c r="C5" t="s">
        <v>93</v>
      </c>
      <c r="D5" s="24">
        <v>9981502</v>
      </c>
      <c r="E5" s="40">
        <v>27748575.559999999</v>
      </c>
      <c r="F5" s="40">
        <v>3905262.66</v>
      </c>
    </row>
    <row r="6" spans="1:6">
      <c r="A6" t="s">
        <v>96</v>
      </c>
      <c r="B6" t="s">
        <v>97</v>
      </c>
      <c r="C6" t="s">
        <v>93</v>
      </c>
      <c r="D6" s="24">
        <v>9566283</v>
      </c>
      <c r="E6" s="40">
        <v>26594266.739999998</v>
      </c>
      <c r="F6" s="40">
        <v>3742808.22</v>
      </c>
    </row>
    <row r="7" spans="1:6">
      <c r="A7" t="s">
        <v>98</v>
      </c>
      <c r="B7" t="s">
        <v>97</v>
      </c>
      <c r="C7" t="s">
        <v>93</v>
      </c>
      <c r="D7" s="24">
        <v>9051675</v>
      </c>
      <c r="E7" s="40">
        <v>25163656.5</v>
      </c>
      <c r="F7" s="40">
        <v>3541467.84</v>
      </c>
    </row>
    <row r="8" spans="1:6">
      <c r="A8" t="s">
        <v>99</v>
      </c>
      <c r="B8" t="s">
        <v>92</v>
      </c>
      <c r="C8" t="s">
        <v>93</v>
      </c>
      <c r="D8" s="24">
        <v>8894418</v>
      </c>
      <c r="E8" s="40">
        <v>24726482.039999999</v>
      </c>
      <c r="F8" s="40">
        <v>3479941.04</v>
      </c>
    </row>
    <row r="9" spans="1:6">
      <c r="A9" t="s">
        <v>100</v>
      </c>
      <c r="B9" t="s">
        <v>101</v>
      </c>
      <c r="C9" t="s">
        <v>102</v>
      </c>
      <c r="D9" s="24">
        <v>8892389</v>
      </c>
      <c r="E9" s="40">
        <v>24720841.420000002</v>
      </c>
      <c r="F9" s="40">
        <v>3479147.2</v>
      </c>
    </row>
    <row r="10" spans="1:6">
      <c r="A10" t="s">
        <v>103</v>
      </c>
      <c r="B10" t="s">
        <v>101</v>
      </c>
      <c r="C10" t="s">
        <v>102</v>
      </c>
      <c r="D10" s="24">
        <v>8775712</v>
      </c>
      <c r="E10" s="40">
        <v>24396479.359999999</v>
      </c>
      <c r="F10" s="40">
        <v>3433497.32</v>
      </c>
    </row>
    <row r="11" spans="1:6">
      <c r="A11" t="s">
        <v>104</v>
      </c>
      <c r="B11" t="s">
        <v>105</v>
      </c>
      <c r="C11" t="s">
        <v>106</v>
      </c>
      <c r="D11" s="24">
        <v>8336063</v>
      </c>
      <c r="E11" s="40">
        <v>23174255.140000001</v>
      </c>
      <c r="F11" s="40">
        <v>3261484.65</v>
      </c>
    </row>
    <row r="12" spans="1:6">
      <c r="A12" t="s">
        <v>107</v>
      </c>
      <c r="B12" t="s">
        <v>105</v>
      </c>
      <c r="C12" t="s">
        <v>106</v>
      </c>
      <c r="D12" s="24">
        <v>8226795</v>
      </c>
      <c r="E12" s="40">
        <v>22870490.100000001</v>
      </c>
      <c r="F12" s="40">
        <v>3218733.54</v>
      </c>
    </row>
    <row r="13" spans="1:6">
      <c r="A13" t="s">
        <v>108</v>
      </c>
      <c r="B13" t="s">
        <v>105</v>
      </c>
      <c r="C13" t="s">
        <v>106</v>
      </c>
      <c r="D13" s="24">
        <v>8182121</v>
      </c>
      <c r="E13" s="40">
        <v>22746296.379999999</v>
      </c>
      <c r="F13" s="40">
        <v>3201254.84</v>
      </c>
    </row>
    <row r="14" spans="1:6">
      <c r="A14" t="s">
        <v>109</v>
      </c>
      <c r="B14" t="s">
        <v>101</v>
      </c>
      <c r="C14" t="s">
        <v>102</v>
      </c>
      <c r="D14" s="24">
        <v>8098811</v>
      </c>
      <c r="E14" s="40">
        <v>22514694.579999998</v>
      </c>
      <c r="F14" s="40">
        <v>3168659.8</v>
      </c>
    </row>
    <row r="15" spans="1:6">
      <c r="A15" t="s">
        <v>110</v>
      </c>
      <c r="B15" t="s">
        <v>101</v>
      </c>
      <c r="C15" t="s">
        <v>93</v>
      </c>
      <c r="D15" s="24">
        <v>7753259</v>
      </c>
      <c r="E15" s="40">
        <v>21554060.02</v>
      </c>
      <c r="F15" s="40">
        <v>3033462.58</v>
      </c>
    </row>
    <row r="16" spans="1:6">
      <c r="A16" t="s">
        <v>111</v>
      </c>
      <c r="B16" t="s">
        <v>97</v>
      </c>
      <c r="C16" t="s">
        <v>93</v>
      </c>
      <c r="D16" s="24">
        <v>7709554</v>
      </c>
      <c r="E16" s="40">
        <v>21432560.120000001</v>
      </c>
      <c r="F16" s="40">
        <v>3016363</v>
      </c>
    </row>
    <row r="17" spans="1:6">
      <c r="A17" t="s">
        <v>112</v>
      </c>
      <c r="B17" t="s">
        <v>113</v>
      </c>
      <c r="C17" t="s">
        <v>102</v>
      </c>
      <c r="D17" s="24">
        <v>7653677</v>
      </c>
      <c r="E17" s="40">
        <v>21277222.059999999</v>
      </c>
      <c r="F17" s="40">
        <v>2994501.13</v>
      </c>
    </row>
    <row r="18" spans="1:6">
      <c r="A18" t="s">
        <v>114</v>
      </c>
      <c r="B18" t="s">
        <v>115</v>
      </c>
      <c r="C18" t="s">
        <v>93</v>
      </c>
      <c r="D18" s="24">
        <v>7633418</v>
      </c>
      <c r="E18" s="40">
        <v>21220902.039999999</v>
      </c>
      <c r="F18" s="40">
        <v>2986574.79</v>
      </c>
    </row>
    <row r="19" spans="1:6">
      <c r="A19" t="s">
        <v>116</v>
      </c>
      <c r="B19" t="s">
        <v>101</v>
      </c>
      <c r="C19" t="s">
        <v>93</v>
      </c>
      <c r="D19" s="24">
        <v>7590559</v>
      </c>
      <c r="E19" s="40">
        <v>21101754.02</v>
      </c>
      <c r="F19" s="40">
        <v>2969806.21</v>
      </c>
    </row>
    <row r="20" spans="1:6">
      <c r="A20" t="s">
        <v>117</v>
      </c>
      <c r="B20" t="s">
        <v>118</v>
      </c>
      <c r="C20" t="s">
        <v>93</v>
      </c>
      <c r="D20" s="24">
        <v>7550917</v>
      </c>
      <c r="E20" s="40">
        <v>20991549.260000002</v>
      </c>
      <c r="F20" s="40">
        <v>2954296.28</v>
      </c>
    </row>
    <row r="21" spans="1:6">
      <c r="A21" t="s">
        <v>119</v>
      </c>
      <c r="B21" t="s">
        <v>101</v>
      </c>
      <c r="C21" t="s">
        <v>102</v>
      </c>
      <c r="D21" s="24">
        <v>7509289</v>
      </c>
      <c r="E21" s="40">
        <v>20875823.420000002</v>
      </c>
      <c r="F21" s="40">
        <v>2938009.32</v>
      </c>
    </row>
    <row r="22" spans="1:6">
      <c r="A22" t="s">
        <v>120</v>
      </c>
      <c r="B22" t="s">
        <v>121</v>
      </c>
      <c r="C22" t="s">
        <v>93</v>
      </c>
      <c r="D22" s="24">
        <v>7505226</v>
      </c>
      <c r="E22" s="40">
        <v>20864528.280000001</v>
      </c>
      <c r="F22" s="40">
        <v>2936419.67</v>
      </c>
    </row>
    <row r="23" spans="1:6">
      <c r="A23" t="s">
        <v>122</v>
      </c>
      <c r="B23" t="s">
        <v>121</v>
      </c>
      <c r="C23" t="s">
        <v>93</v>
      </c>
      <c r="D23" s="24">
        <v>7491997</v>
      </c>
      <c r="E23" s="40">
        <v>20827751.66</v>
      </c>
      <c r="F23" s="40">
        <v>2931243.83</v>
      </c>
    </row>
    <row r="24" spans="1:6">
      <c r="A24" t="s">
        <v>123</v>
      </c>
      <c r="B24" t="s">
        <v>124</v>
      </c>
      <c r="C24" t="s">
        <v>125</v>
      </c>
      <c r="D24" s="24">
        <v>7341067</v>
      </c>
      <c r="E24" s="40">
        <v>20408166.260000002</v>
      </c>
      <c r="F24" s="40">
        <v>2872192.46</v>
      </c>
    </row>
    <row r="25" spans="1:6">
      <c r="A25" t="s">
        <v>126</v>
      </c>
      <c r="B25" t="s">
        <v>124</v>
      </c>
      <c r="C25" t="s">
        <v>125</v>
      </c>
      <c r="D25" s="24">
        <v>7320787</v>
      </c>
      <c r="E25" s="40">
        <v>20351787.859999999</v>
      </c>
      <c r="F25" s="40">
        <v>2864257.91</v>
      </c>
    </row>
    <row r="26" spans="1:6">
      <c r="A26" t="s">
        <v>127</v>
      </c>
      <c r="B26" t="s">
        <v>115</v>
      </c>
      <c r="C26" t="s">
        <v>93</v>
      </c>
      <c r="D26" s="24">
        <v>7237383</v>
      </c>
      <c r="E26" s="40">
        <v>20119924.739999998</v>
      </c>
      <c r="F26" s="40">
        <v>2831626.1</v>
      </c>
    </row>
    <row r="27" spans="1:6">
      <c r="A27" t="s">
        <v>128</v>
      </c>
      <c r="B27" t="s">
        <v>121</v>
      </c>
      <c r="C27" t="s">
        <v>93</v>
      </c>
      <c r="D27" s="24">
        <v>7217543</v>
      </c>
      <c r="E27" s="40">
        <v>20064769.539999999</v>
      </c>
      <c r="F27" s="40">
        <v>2823863.7</v>
      </c>
    </row>
    <row r="28" spans="1:6">
      <c r="A28" t="s">
        <v>129</v>
      </c>
      <c r="B28" t="s">
        <v>97</v>
      </c>
      <c r="C28" t="s">
        <v>93</v>
      </c>
      <c r="D28" s="24">
        <v>7211088</v>
      </c>
      <c r="E28" s="40">
        <v>20046824.640000001</v>
      </c>
      <c r="F28" s="40">
        <v>2821338.18</v>
      </c>
    </row>
    <row r="29" spans="1:6">
      <c r="A29" t="s">
        <v>130</v>
      </c>
      <c r="B29" t="s">
        <v>97</v>
      </c>
      <c r="C29" t="s">
        <v>93</v>
      </c>
      <c r="D29" s="24">
        <v>7114035</v>
      </c>
      <c r="E29" s="40">
        <v>19777017.300000001</v>
      </c>
      <c r="F29" s="40">
        <v>2783366.19</v>
      </c>
    </row>
    <row r="30" spans="1:6">
      <c r="A30" t="s">
        <v>131</v>
      </c>
      <c r="B30" t="s">
        <v>97</v>
      </c>
      <c r="C30" t="s">
        <v>93</v>
      </c>
      <c r="D30" s="24">
        <v>7112693</v>
      </c>
      <c r="E30" s="40">
        <v>19773286.539999999</v>
      </c>
      <c r="F30" s="40">
        <v>2782841.14</v>
      </c>
    </row>
    <row r="31" spans="1:6">
      <c r="A31" t="s">
        <v>132</v>
      </c>
      <c r="B31" t="s">
        <v>124</v>
      </c>
      <c r="C31" t="s">
        <v>125</v>
      </c>
      <c r="D31" s="24">
        <v>7092172</v>
      </c>
      <c r="E31" s="40">
        <v>19716238.16</v>
      </c>
      <c r="F31" s="40">
        <v>2774812.29</v>
      </c>
    </row>
    <row r="32" spans="1:6">
      <c r="A32" t="s">
        <v>133</v>
      </c>
      <c r="B32" t="s">
        <v>97</v>
      </c>
      <c r="C32" t="s">
        <v>93</v>
      </c>
      <c r="D32" s="24">
        <v>7077962</v>
      </c>
      <c r="E32" s="40">
        <v>19676734.359999999</v>
      </c>
      <c r="F32" s="40">
        <v>2769252.63</v>
      </c>
    </row>
    <row r="33" spans="1:6">
      <c r="A33" t="s">
        <v>134</v>
      </c>
      <c r="B33" t="s">
        <v>124</v>
      </c>
      <c r="C33" t="s">
        <v>125</v>
      </c>
      <c r="D33" s="24">
        <v>7064743</v>
      </c>
      <c r="E33" s="40">
        <v>19639985.539999999</v>
      </c>
      <c r="F33" s="40">
        <v>2764080.7</v>
      </c>
    </row>
    <row r="34" spans="1:6">
      <c r="A34" t="s">
        <v>135</v>
      </c>
      <c r="B34" t="s">
        <v>124</v>
      </c>
      <c r="C34" t="s">
        <v>125</v>
      </c>
      <c r="D34" s="24">
        <v>7057533</v>
      </c>
      <c r="E34" s="40">
        <v>19619941.739999998</v>
      </c>
      <c r="F34" s="40">
        <v>2761259.79</v>
      </c>
    </row>
    <row r="35" spans="1:6">
      <c r="A35" t="s">
        <v>136</v>
      </c>
      <c r="B35" t="s">
        <v>124</v>
      </c>
      <c r="C35" t="s">
        <v>125</v>
      </c>
      <c r="D35" s="24">
        <v>7036440</v>
      </c>
      <c r="E35" s="40">
        <v>19561303.199999999</v>
      </c>
      <c r="F35" s="40">
        <v>2753007.15</v>
      </c>
    </row>
    <row r="36" spans="1:6">
      <c r="A36" t="s">
        <v>137</v>
      </c>
      <c r="B36" t="s">
        <v>101</v>
      </c>
      <c r="C36" t="s">
        <v>102</v>
      </c>
      <c r="D36" s="24">
        <v>7005841</v>
      </c>
      <c r="E36" s="40">
        <v>19476237.98</v>
      </c>
      <c r="F36" s="40">
        <v>2741035.29</v>
      </c>
    </row>
    <row r="37" spans="1:6">
      <c r="A37" t="s">
        <v>138</v>
      </c>
      <c r="B37" t="s">
        <v>97</v>
      </c>
      <c r="C37" t="s">
        <v>93</v>
      </c>
      <c r="D37" s="24">
        <v>6985394</v>
      </c>
      <c r="E37" s="40">
        <v>19419395.32</v>
      </c>
      <c r="F37" s="40">
        <v>2733035.4</v>
      </c>
    </row>
    <row r="38" spans="1:6">
      <c r="A38" t="s">
        <v>139</v>
      </c>
      <c r="B38" t="s">
        <v>97</v>
      </c>
      <c r="C38" t="s">
        <v>93</v>
      </c>
      <c r="D38" s="24">
        <v>6980881</v>
      </c>
      <c r="E38" s="40">
        <v>19406849.18</v>
      </c>
      <c r="F38" s="40">
        <v>2731269.69</v>
      </c>
    </row>
    <row r="39" spans="1:6">
      <c r="A39" t="s">
        <v>140</v>
      </c>
      <c r="B39" t="s">
        <v>97</v>
      </c>
      <c r="C39" t="s">
        <v>93</v>
      </c>
      <c r="D39" s="24">
        <v>6972823</v>
      </c>
      <c r="E39" s="40">
        <v>19384447.940000001</v>
      </c>
      <c r="F39" s="40">
        <v>2728117</v>
      </c>
    </row>
    <row r="40" spans="1:6">
      <c r="A40" t="s">
        <v>141</v>
      </c>
      <c r="B40" t="s">
        <v>105</v>
      </c>
      <c r="C40" t="s">
        <v>106</v>
      </c>
      <c r="D40" s="24">
        <v>6939464</v>
      </c>
      <c r="E40" s="40">
        <v>19291709.920000002</v>
      </c>
      <c r="F40" s="40">
        <v>2715065.29</v>
      </c>
    </row>
    <row r="41" spans="1:6">
      <c r="A41" t="s">
        <v>142</v>
      </c>
      <c r="B41" t="s">
        <v>143</v>
      </c>
      <c r="C41" t="s">
        <v>106</v>
      </c>
      <c r="D41" s="24">
        <v>6931540</v>
      </c>
      <c r="E41" s="40">
        <v>19269681.199999999</v>
      </c>
      <c r="F41" s="40">
        <v>2711965.02</v>
      </c>
    </row>
    <row r="42" spans="1:6">
      <c r="A42" t="s">
        <v>144</v>
      </c>
      <c r="B42" t="s">
        <v>145</v>
      </c>
      <c r="C42" t="s">
        <v>102</v>
      </c>
      <c r="D42" s="24">
        <v>6910832</v>
      </c>
      <c r="E42" s="40">
        <v>19212112.960000001</v>
      </c>
      <c r="F42" s="40">
        <v>2703863.02</v>
      </c>
    </row>
    <row r="43" spans="1:6">
      <c r="A43" t="s">
        <v>146</v>
      </c>
      <c r="B43" t="s">
        <v>92</v>
      </c>
      <c r="C43" t="s">
        <v>93</v>
      </c>
      <c r="D43" s="24">
        <v>6891663</v>
      </c>
      <c r="E43" s="40">
        <v>19158823.140000001</v>
      </c>
      <c r="F43" s="40">
        <v>2696363.15</v>
      </c>
    </row>
    <row r="44" spans="1:6">
      <c r="A44" t="s">
        <v>147</v>
      </c>
      <c r="B44" t="s">
        <v>124</v>
      </c>
      <c r="C44" t="s">
        <v>125</v>
      </c>
      <c r="D44" s="24">
        <v>6880198</v>
      </c>
      <c r="E44" s="40">
        <v>19126950.440000001</v>
      </c>
      <c r="F44" s="40">
        <v>2691877.47</v>
      </c>
    </row>
    <row r="45" spans="1:6">
      <c r="A45" t="s">
        <v>148</v>
      </c>
      <c r="B45" t="s">
        <v>97</v>
      </c>
      <c r="C45" t="s">
        <v>93</v>
      </c>
      <c r="D45" s="24">
        <v>6804626</v>
      </c>
      <c r="E45" s="40">
        <v>18916860.280000001</v>
      </c>
      <c r="F45" s="40">
        <v>2662309.92</v>
      </c>
    </row>
    <row r="46" spans="1:6">
      <c r="A46" t="s">
        <v>149</v>
      </c>
      <c r="B46" t="s">
        <v>97</v>
      </c>
      <c r="C46" t="s">
        <v>93</v>
      </c>
      <c r="D46" s="24">
        <v>6802426</v>
      </c>
      <c r="E46" s="40">
        <v>18910744.280000001</v>
      </c>
      <c r="F46" s="40">
        <v>2661449.17</v>
      </c>
    </row>
    <row r="47" spans="1:6">
      <c r="A47" t="s">
        <v>150</v>
      </c>
      <c r="B47" t="s">
        <v>101</v>
      </c>
      <c r="C47" t="s">
        <v>93</v>
      </c>
      <c r="D47" s="24">
        <v>6760695</v>
      </c>
      <c r="E47" s="40">
        <v>18794732.100000001</v>
      </c>
      <c r="F47" s="40">
        <v>2645121.92</v>
      </c>
    </row>
    <row r="48" spans="1:6">
      <c r="A48" t="s">
        <v>151</v>
      </c>
      <c r="B48" t="s">
        <v>97</v>
      </c>
      <c r="C48" t="s">
        <v>93</v>
      </c>
      <c r="D48" s="24">
        <v>6758712</v>
      </c>
      <c r="E48" s="40">
        <v>18789219.359999999</v>
      </c>
      <c r="F48" s="40">
        <v>2644346.0699999998</v>
      </c>
    </row>
    <row r="49" spans="1:8">
      <c r="A49" t="s">
        <v>152</v>
      </c>
      <c r="B49" t="s">
        <v>121</v>
      </c>
      <c r="C49" t="s">
        <v>93</v>
      </c>
      <c r="D49" s="24">
        <v>6758703</v>
      </c>
      <c r="E49" s="40">
        <v>18789194.34</v>
      </c>
      <c r="F49" s="40">
        <v>2644342.5499999998</v>
      </c>
    </row>
    <row r="50" spans="1:8">
      <c r="A50" t="s">
        <v>153</v>
      </c>
      <c r="B50" t="s">
        <v>97</v>
      </c>
      <c r="C50" t="s">
        <v>93</v>
      </c>
      <c r="D50" s="24">
        <v>6757596</v>
      </c>
      <c r="E50" s="40">
        <v>18786116.879999999</v>
      </c>
      <c r="F50" s="40">
        <v>2643909.44</v>
      </c>
    </row>
    <row r="51" spans="1:8">
      <c r="A51" t="s">
        <v>154</v>
      </c>
      <c r="B51" t="s">
        <v>115</v>
      </c>
      <c r="C51" t="s">
        <v>93</v>
      </c>
      <c r="D51" s="24">
        <v>6750199</v>
      </c>
      <c r="E51" s="40">
        <v>18765553.219999999</v>
      </c>
      <c r="F51" s="40">
        <v>2641015.36</v>
      </c>
    </row>
    <row r="52" spans="1:8">
      <c r="A52" t="s">
        <v>155</v>
      </c>
      <c r="B52" t="s">
        <v>124</v>
      </c>
      <c r="C52" t="s">
        <v>125</v>
      </c>
      <c r="D52" s="24">
        <v>6725720</v>
      </c>
      <c r="E52" s="40">
        <v>18697501.600000001</v>
      </c>
      <c r="F52" s="40">
        <v>2631437.9500000002</v>
      </c>
    </row>
    <row r="54" spans="1:8">
      <c r="C54" s="41" t="s">
        <v>156</v>
      </c>
      <c r="D54" s="24">
        <f>AVERAGE(D3:D52)</f>
        <v>7604818.7999999998</v>
      </c>
    </row>
    <row r="55" spans="1:8">
      <c r="C55" s="41"/>
      <c r="D55" s="24"/>
    </row>
    <row r="56" spans="1:8">
      <c r="C56" s="41"/>
      <c r="D56" s="24"/>
    </row>
    <row r="57" spans="1:8">
      <c r="A57" s="42" t="s">
        <v>157</v>
      </c>
      <c r="B57" s="43"/>
      <c r="C57" s="44"/>
      <c r="D57" s="45"/>
      <c r="E57" s="43"/>
      <c r="F57" s="43"/>
      <c r="G57" s="43"/>
      <c r="H57" s="46"/>
    </row>
    <row r="58" spans="1:8">
      <c r="A58" s="47" t="s">
        <v>158</v>
      </c>
      <c r="B58" s="30"/>
      <c r="C58" s="30"/>
      <c r="D58" s="48">
        <f>'TFL (2006) (20yr GWP)'!C54*1000</f>
        <v>40583000</v>
      </c>
      <c r="E58" s="49" t="s">
        <v>159</v>
      </c>
      <c r="F58" s="30"/>
      <c r="G58" s="30"/>
      <c r="H58" s="50"/>
    </row>
    <row r="59" spans="1:8">
      <c r="A59" s="51"/>
      <c r="B59" s="30"/>
      <c r="C59" s="30"/>
      <c r="D59" s="52">
        <f>D58/D54</f>
        <v>5.3364848088162207</v>
      </c>
      <c r="E59" s="49" t="s">
        <v>160</v>
      </c>
      <c r="F59" s="30"/>
      <c r="G59" s="30"/>
      <c r="H59" s="50"/>
    </row>
    <row r="60" spans="1:8">
      <c r="A60" s="51"/>
      <c r="B60" s="30"/>
      <c r="C60" s="30"/>
      <c r="D60" s="30"/>
      <c r="E60" s="30"/>
      <c r="F60" s="30"/>
      <c r="G60" s="30"/>
      <c r="H60" s="50"/>
    </row>
    <row r="61" spans="1:8">
      <c r="A61" s="51"/>
      <c r="B61" s="30"/>
      <c r="C61" s="30"/>
      <c r="D61" s="30">
        <f>'Emission Calculations (84)'!D36/1000000</f>
        <v>6.1867180938261525E-2</v>
      </c>
      <c r="E61" s="49" t="s">
        <v>161</v>
      </c>
      <c r="F61" s="30"/>
      <c r="G61" s="30"/>
      <c r="H61" s="50"/>
    </row>
    <row r="62" spans="1:8">
      <c r="A62" s="53"/>
      <c r="B62" s="54"/>
      <c r="C62" s="54"/>
      <c r="D62" s="54"/>
      <c r="E62" s="55"/>
      <c r="F62" s="54"/>
      <c r="G62" s="54"/>
      <c r="H62" s="56"/>
    </row>
    <row r="63" spans="1:8">
      <c r="A63" s="51"/>
      <c r="B63" s="30"/>
      <c r="C63" s="30"/>
      <c r="D63" s="30"/>
      <c r="E63" s="30"/>
      <c r="F63" s="30"/>
      <c r="G63" s="30"/>
      <c r="H63" s="50"/>
    </row>
    <row r="64" spans="1:8">
      <c r="A64" s="47" t="s">
        <v>162</v>
      </c>
      <c r="B64" s="30"/>
      <c r="C64" s="30"/>
      <c r="D64" s="48">
        <f>'TFL (Maximum (20yr GWP)'!C54*1000</f>
        <v>10744000</v>
      </c>
      <c r="E64" s="49" t="s">
        <v>159</v>
      </c>
      <c r="F64" s="30"/>
      <c r="G64" s="30"/>
      <c r="H64" s="50"/>
    </row>
    <row r="65" spans="1:8">
      <c r="A65" s="51"/>
      <c r="B65" s="30"/>
      <c r="C65" s="30"/>
      <c r="D65" s="52">
        <f>D64/D54</f>
        <v>1.4127884283054843</v>
      </c>
      <c r="E65" s="49" t="s">
        <v>160</v>
      </c>
      <c r="F65" s="30"/>
      <c r="G65" s="30"/>
      <c r="H65" s="50"/>
    </row>
    <row r="66" spans="1:8">
      <c r="A66" s="51"/>
      <c r="B66" s="30"/>
      <c r="C66" s="30"/>
      <c r="D66" s="30"/>
      <c r="E66" s="30"/>
      <c r="F66" s="30"/>
      <c r="G66" s="30"/>
      <c r="H66" s="50"/>
    </row>
    <row r="67" spans="1:8">
      <c r="A67" s="51"/>
      <c r="B67" s="30"/>
      <c r="C67" s="30"/>
      <c r="D67" s="30">
        <f>'Emission Calculations (84) (2)'!D36/1000000</f>
        <v>4.0747483864287844E-2</v>
      </c>
      <c r="E67" s="49" t="s">
        <v>163</v>
      </c>
      <c r="F67" s="30"/>
      <c r="G67" s="30"/>
      <c r="H67" s="50"/>
    </row>
    <row r="68" spans="1:8">
      <c r="A68" s="53"/>
      <c r="B68" s="54"/>
      <c r="C68" s="54"/>
      <c r="D68" s="54"/>
      <c r="E68" s="54"/>
      <c r="F68" s="54"/>
      <c r="G68" s="54"/>
      <c r="H68" s="56"/>
    </row>
    <row r="69" spans="1:8">
      <c r="A69" s="51"/>
      <c r="B69" s="30"/>
      <c r="C69" s="30"/>
      <c r="D69" s="30"/>
      <c r="E69" s="30"/>
      <c r="F69" s="30"/>
      <c r="G69" s="30"/>
      <c r="H69" s="50"/>
    </row>
    <row r="70" spans="1:8">
      <c r="A70" s="47" t="s">
        <v>164</v>
      </c>
      <c r="B70" s="30"/>
      <c r="C70" s="30"/>
      <c r="D70" s="48">
        <f>'TFL (Average) (20yr GWP)'!C54*1000</f>
        <v>25325666.666666657</v>
      </c>
      <c r="E70" s="49" t="s">
        <v>159</v>
      </c>
      <c r="F70" s="30"/>
      <c r="G70" s="30"/>
      <c r="H70" s="50"/>
    </row>
    <row r="71" spans="1:8">
      <c r="A71" s="51"/>
      <c r="B71" s="30"/>
      <c r="C71" s="30"/>
      <c r="D71" s="52">
        <f>D70/D54</f>
        <v>3.3302130310674407</v>
      </c>
      <c r="E71" s="49" t="s">
        <v>160</v>
      </c>
      <c r="F71" s="30"/>
      <c r="G71" s="30"/>
      <c r="H71" s="50"/>
    </row>
    <row r="72" spans="1:8">
      <c r="A72" s="51"/>
      <c r="B72" s="30"/>
      <c r="C72" s="30"/>
      <c r="D72" s="30"/>
      <c r="E72" s="30"/>
      <c r="F72" s="30"/>
      <c r="G72" s="30"/>
      <c r="H72" s="50"/>
    </row>
    <row r="73" spans="1:8">
      <c r="A73" s="51"/>
      <c r="B73" s="30"/>
      <c r="C73" s="30"/>
      <c r="D73" s="30">
        <f>'Emission Calculations (84) (3)'!D36/1000000</f>
        <v>5.1307332401274691E-2</v>
      </c>
      <c r="E73" s="49" t="s">
        <v>165</v>
      </c>
      <c r="F73" s="30"/>
      <c r="G73" s="30"/>
      <c r="H73" s="50"/>
    </row>
    <row r="74" spans="1:8">
      <c r="A74" s="53"/>
      <c r="B74" s="54"/>
      <c r="C74" s="54"/>
      <c r="D74" s="54"/>
      <c r="E74" s="54"/>
      <c r="F74" s="54"/>
      <c r="G74" s="54"/>
      <c r="H74" s="56"/>
    </row>
    <row r="75" spans="1:8">
      <c r="A75" s="51"/>
      <c r="B75" s="30"/>
      <c r="C75" s="30"/>
      <c r="D75" s="30"/>
      <c r="E75" s="30"/>
      <c r="F75" s="30"/>
      <c r="G75" s="30"/>
      <c r="H75" s="50"/>
    </row>
    <row r="76" spans="1:8">
      <c r="A76" s="47" t="s">
        <v>166</v>
      </c>
      <c r="B76" s="30"/>
      <c r="C76" s="30"/>
      <c r="D76" s="48">
        <f>'TFL (67%) (20yr GWP)'!C54*1000</f>
        <v>149327590</v>
      </c>
      <c r="E76" s="49" t="s">
        <v>159</v>
      </c>
      <c r="F76" s="30"/>
      <c r="G76" s="30"/>
      <c r="H76" s="50"/>
    </row>
    <row r="77" spans="1:8">
      <c r="A77" s="51"/>
      <c r="B77" s="30"/>
      <c r="C77" s="30"/>
      <c r="D77" s="52">
        <f>D76/D54</f>
        <v>19.635916900478943</v>
      </c>
      <c r="E77" s="49" t="s">
        <v>160</v>
      </c>
      <c r="F77" s="30"/>
      <c r="G77" s="30"/>
      <c r="H77" s="50"/>
    </row>
    <row r="78" spans="1:8">
      <c r="A78" s="51"/>
      <c r="B78" s="30"/>
      <c r="C78" s="30"/>
      <c r="D78" s="30"/>
      <c r="E78" s="30"/>
      <c r="F78" s="30"/>
      <c r="G78" s="30"/>
      <c r="H78" s="50"/>
    </row>
    <row r="79" spans="1:8">
      <c r="A79" s="53"/>
      <c r="B79" s="54"/>
      <c r="C79" s="54"/>
      <c r="D79" s="54">
        <f>'Emission Calculations (84) (4)'!D36/1000000</f>
        <v>0.13578612069716939</v>
      </c>
      <c r="E79" s="55" t="s">
        <v>167</v>
      </c>
      <c r="F79" s="54"/>
      <c r="G79" s="54"/>
      <c r="H79" s="56"/>
    </row>
  </sheetData>
  <sheetProtection algorithmName="SHA-512" hashValue="tbbH4iErNCxzfJYXK3WsgPi/dNKBl49CCnPBurZlAh80CeBOtw+6OvRwkWZ5CxYgJ02bAguYYePtP83CaZc3vg==" saltValue="JkNqpNS1nQwacl407hiCOA==" spinCount="100000" sheet="1" objects="1" scenarios="1"/>
  <pageMargins left="0.70000000000000007" right="0.70000000000000007" top="1.1437000000000002" bottom="1.1437000000000002" header="0.75000000000000011" footer="0.75000000000000011"/>
  <pageSetup paperSize="0" fitToWidth="0" fitToHeight="0" orientation="portrait" horizontalDpi="0" verticalDpi="0" copies="0"/>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G81"/>
  <sheetViews>
    <sheetView zoomScaleNormal="100" workbookViewId="0">
      <selection activeCell="B10" sqref="B10"/>
    </sheetView>
  </sheetViews>
  <sheetFormatPr defaultRowHeight="14.25"/>
  <cols>
    <col min="1" max="1" width="36" customWidth="1"/>
    <col min="2" max="2" width="16.25" customWidth="1"/>
    <col min="3" max="3" width="29.75" customWidth="1"/>
    <col min="4" max="4" width="26" customWidth="1"/>
    <col min="5" max="5" width="9" customWidth="1"/>
    <col min="6" max="6" width="8.375" customWidth="1"/>
    <col min="7" max="256" width="8" customWidth="1"/>
    <col min="257" max="257" width="36" customWidth="1"/>
    <col min="258" max="258" width="16.25" customWidth="1"/>
    <col min="259" max="259" width="29.75" customWidth="1"/>
    <col min="260" max="260" width="26" customWidth="1"/>
    <col min="261" max="261" width="9" customWidth="1"/>
    <col min="262" max="262" width="8.375" customWidth="1"/>
    <col min="263" max="512" width="8" customWidth="1"/>
    <col min="513" max="513" width="36" customWidth="1"/>
    <col min="514" max="514" width="16.25" customWidth="1"/>
    <col min="515" max="515" width="29.75" customWidth="1"/>
    <col min="516" max="516" width="26" customWidth="1"/>
    <col min="517" max="517" width="9" customWidth="1"/>
    <col min="518" max="518" width="8.375" customWidth="1"/>
    <col min="519" max="768" width="8" customWidth="1"/>
    <col min="769" max="769" width="36" customWidth="1"/>
    <col min="770" max="770" width="16.25" customWidth="1"/>
    <col min="771" max="771" width="29.75" customWidth="1"/>
    <col min="772" max="772" width="26" customWidth="1"/>
    <col min="773" max="773" width="9" customWidth="1"/>
    <col min="774" max="774" width="8.375" customWidth="1"/>
    <col min="775" max="1024" width="8" customWidth="1"/>
  </cols>
  <sheetData>
    <row r="1" spans="1:5" ht="18">
      <c r="A1" s="57" t="s">
        <v>168</v>
      </c>
      <c r="B1" s="58"/>
      <c r="C1" s="58"/>
      <c r="D1" s="58"/>
      <c r="E1" s="59"/>
    </row>
    <row r="2" spans="1:5" ht="18">
      <c r="A2" s="60">
        <v>40525</v>
      </c>
      <c r="B2" s="58"/>
      <c r="C2" s="58"/>
      <c r="D2" s="58"/>
      <c r="E2" s="61"/>
    </row>
    <row r="3" spans="1:5" ht="12.75" customHeight="1">
      <c r="A3" s="228" t="s">
        <v>169</v>
      </c>
      <c r="B3" s="228"/>
      <c r="C3" s="228"/>
      <c r="D3" s="228"/>
      <c r="E3" s="228"/>
    </row>
    <row r="4" spans="1:5">
      <c r="A4" s="228"/>
      <c r="B4" s="228"/>
      <c r="C4" s="228"/>
      <c r="D4" s="228"/>
      <c r="E4" s="228"/>
    </row>
    <row r="5" spans="1:5" ht="96.75" thickBot="1">
      <c r="A5" s="62" t="s">
        <v>170</v>
      </c>
      <c r="B5" s="62" t="s">
        <v>171</v>
      </c>
      <c r="C5" s="62" t="s">
        <v>172</v>
      </c>
      <c r="D5" s="63" t="s">
        <v>173</v>
      </c>
      <c r="E5" s="61"/>
    </row>
    <row r="6" spans="1:5" ht="15" customHeight="1">
      <c r="A6" s="229" t="s">
        <v>174</v>
      </c>
      <c r="B6" s="229"/>
      <c r="C6" s="229"/>
      <c r="D6" s="229"/>
      <c r="E6" s="64"/>
    </row>
    <row r="7" spans="1:5" ht="105" customHeight="1">
      <c r="A7" s="65" t="s">
        <v>175</v>
      </c>
      <c r="B7" s="66">
        <v>6</v>
      </c>
      <c r="C7" s="67" t="s">
        <v>176</v>
      </c>
      <c r="D7" s="68">
        <f>B7*'Guidance and Sources (84)'!D10*1000*'Guidance and Sources (84)'!C62</f>
        <v>22240.2</v>
      </c>
      <c r="E7" s="64"/>
    </row>
    <row r="8" spans="1:5" ht="25.5">
      <c r="A8" s="69" t="s">
        <v>177</v>
      </c>
      <c r="B8" s="70"/>
      <c r="C8" s="70"/>
      <c r="D8" s="71"/>
      <c r="E8" s="64"/>
    </row>
    <row r="9" spans="1:5" ht="55.5" customHeight="1" thickBot="1">
      <c r="A9" s="215" t="s">
        <v>178</v>
      </c>
      <c r="B9" s="66">
        <v>6</v>
      </c>
      <c r="C9" s="67" t="s">
        <v>179</v>
      </c>
      <c r="D9" s="230">
        <f>B9*B10*(('Guidance and Sources (84)'!D25*'Guidance and Sources (84)'!C64)+'Guidance and Sources (84)'!H25)</f>
        <v>9439.3456109605122</v>
      </c>
      <c r="E9" s="64"/>
    </row>
    <row r="10" spans="1:5" ht="60.75" customHeight="1" thickBot="1">
      <c r="A10" s="215"/>
      <c r="B10" s="72">
        <v>0.9</v>
      </c>
      <c r="C10" s="73" t="s">
        <v>180</v>
      </c>
      <c r="D10" s="230"/>
      <c r="E10" s="64"/>
    </row>
    <row r="11" spans="1:5" ht="15" customHeight="1">
      <c r="A11" s="231" t="s">
        <v>181</v>
      </c>
      <c r="B11" s="231"/>
      <c r="C11" s="231"/>
      <c r="D11" s="231"/>
      <c r="E11" s="64"/>
    </row>
    <row r="12" spans="1:5" ht="105" customHeight="1">
      <c r="A12" s="74" t="s">
        <v>182</v>
      </c>
      <c r="B12" s="66">
        <v>0</v>
      </c>
      <c r="C12" s="75" t="s">
        <v>183</v>
      </c>
      <c r="D12" s="76">
        <f>B12*'Guidance and Sources (84)'!D9*1000*'Guidance and Sources (84)'!C62</f>
        <v>0</v>
      </c>
      <c r="E12" s="64"/>
    </row>
    <row r="13" spans="1:5" ht="105" customHeight="1">
      <c r="A13" s="65" t="s">
        <v>184</v>
      </c>
      <c r="B13" s="66"/>
      <c r="C13" s="67" t="s">
        <v>185</v>
      </c>
      <c r="D13" s="76">
        <f>B13*'Guidance and Sources (84)'!D11*1000*'Guidance and Sources (84)'!C62</f>
        <v>0</v>
      </c>
      <c r="E13" s="64"/>
    </row>
    <row r="14" spans="1:5" ht="105" customHeight="1">
      <c r="A14" s="219" t="s">
        <v>186</v>
      </c>
      <c r="B14" s="66"/>
      <c r="C14" s="75" t="s">
        <v>187</v>
      </c>
      <c r="D14" s="225">
        <f>(B14*'Guidance and Sources (84)'!D15*'Guidance and Sources (84)'!C62)+(B15*'Guidance and Sources (84)'!D16*'Guidance and Sources (84)'!C62)</f>
        <v>0</v>
      </c>
      <c r="E14" s="64"/>
    </row>
    <row r="15" spans="1:5" ht="60" customHeight="1">
      <c r="A15" s="219"/>
      <c r="B15" s="66"/>
      <c r="C15" s="75" t="s">
        <v>188</v>
      </c>
      <c r="D15" s="225"/>
      <c r="E15" s="64"/>
    </row>
    <row r="16" spans="1:5" ht="90" customHeight="1">
      <c r="A16" s="224" t="s">
        <v>189</v>
      </c>
      <c r="B16" s="66"/>
      <c r="C16" s="75" t="s">
        <v>190</v>
      </c>
      <c r="D16" s="225">
        <f>B16*B17*'Guidance and Sources (84)'!D17*'Guidance and Sources (84)'!C62*365</f>
        <v>0</v>
      </c>
      <c r="E16" s="64"/>
    </row>
    <row r="17" spans="1:5" ht="60.75" customHeight="1" thickBot="1">
      <c r="A17" s="224"/>
      <c r="B17" s="77"/>
      <c r="C17" s="73" t="s">
        <v>180</v>
      </c>
      <c r="D17" s="225"/>
      <c r="E17" s="64"/>
    </row>
    <row r="18" spans="1:5" ht="90" customHeight="1">
      <c r="A18" s="219" t="s">
        <v>191</v>
      </c>
      <c r="B18" s="66"/>
      <c r="C18" s="75" t="s">
        <v>190</v>
      </c>
      <c r="D18" s="225">
        <f>B18*B19*'Guidance and Sources (84)'!D22*1000*'Guidance and Sources (84)'!C62</f>
        <v>0</v>
      </c>
      <c r="E18" s="64"/>
    </row>
    <row r="19" spans="1:5" ht="60.75" customHeight="1" thickBot="1">
      <c r="A19" s="219"/>
      <c r="B19" s="77"/>
      <c r="C19" s="73" t="s">
        <v>180</v>
      </c>
      <c r="D19" s="225"/>
      <c r="E19" s="64"/>
    </row>
    <row r="20" spans="1:5" ht="90" customHeight="1">
      <c r="A20" s="78" t="s">
        <v>192</v>
      </c>
      <c r="B20" s="79"/>
      <c r="C20" s="80" t="s">
        <v>193</v>
      </c>
      <c r="D20" s="81">
        <f>B20*1000*'Guidance and Sources (84)'!D20</f>
        <v>0</v>
      </c>
      <c r="E20" s="64"/>
    </row>
    <row r="21" spans="1:5" ht="102" customHeight="1">
      <c r="A21" s="74" t="s">
        <v>194</v>
      </c>
      <c r="B21" s="226"/>
      <c r="C21" s="227" t="s">
        <v>195</v>
      </c>
      <c r="D21" s="68">
        <f>B21*('Guidance and Sources (84)'!D7+'Guidance and Sources (84)'!D8)*365*'Guidance and Sources (84)'!C62</f>
        <v>0</v>
      </c>
      <c r="E21" s="64"/>
    </row>
    <row r="22" spans="1:5" ht="76.5" customHeight="1">
      <c r="A22" s="74" t="s">
        <v>196</v>
      </c>
      <c r="B22" s="226"/>
      <c r="C22" s="227"/>
      <c r="D22" s="68">
        <f>B21*'Guidance and Sources (84)'!D23</f>
        <v>0</v>
      </c>
      <c r="E22" s="64"/>
    </row>
    <row r="23" spans="1:5" ht="75" customHeight="1">
      <c r="A23" s="219" t="s">
        <v>197</v>
      </c>
      <c r="B23" s="82"/>
      <c r="C23" s="75" t="s">
        <v>198</v>
      </c>
      <c r="D23" s="220">
        <f>B23*B24*25*1000*'Guidance and Sources (84)'!C62</f>
        <v>0</v>
      </c>
      <c r="E23" s="64"/>
    </row>
    <row r="24" spans="1:5" ht="63.75" customHeight="1">
      <c r="A24" s="219"/>
      <c r="B24" s="82"/>
      <c r="C24" s="65" t="s">
        <v>199</v>
      </c>
      <c r="D24" s="220"/>
      <c r="E24" s="64"/>
    </row>
    <row r="25" spans="1:5" ht="60.75" customHeight="1" thickBot="1">
      <c r="A25" s="219"/>
      <c r="B25" s="83"/>
      <c r="C25" s="73" t="s">
        <v>180</v>
      </c>
      <c r="D25" s="220"/>
      <c r="E25" s="64"/>
    </row>
    <row r="26" spans="1:5" ht="51" customHeight="1">
      <c r="A26" s="69" t="s">
        <v>200</v>
      </c>
      <c r="B26" s="70">
        <v>0</v>
      </c>
      <c r="C26" s="70"/>
      <c r="D26" s="71"/>
      <c r="E26" s="64"/>
    </row>
    <row r="27" spans="1:5" ht="89.25" customHeight="1">
      <c r="A27" s="84" t="s">
        <v>201</v>
      </c>
      <c r="B27" s="82">
        <v>228.144564</v>
      </c>
      <c r="C27" s="65" t="s">
        <v>202</v>
      </c>
      <c r="D27" s="85">
        <f>B27*('Guidance and Sources (84)'!D19+'Guidance and Sources (84)'!H19)</f>
        <v>16867.615098873961</v>
      </c>
      <c r="E27" s="64"/>
    </row>
    <row r="28" spans="1:5" ht="75" customHeight="1">
      <c r="A28" s="221" t="s">
        <v>203</v>
      </c>
      <c r="B28" s="66">
        <v>5</v>
      </c>
      <c r="C28" s="75" t="s">
        <v>204</v>
      </c>
      <c r="D28" s="222">
        <f>(B28*(('Guidance and Sources (84)'!D12*'Guidance and Sources (84)'!C62)+('Guidance and Sources (84)'!H12*'Guidance and Sources (84)'!C63)))+(B29*(('Guidance and Sources (84)'!D13*'Guidance and Sources (84)'!C62)+('Guidance and Sources (84)'!H13*'Guidance and Sources (84)'!C63)))</f>
        <v>10.930422699999999</v>
      </c>
      <c r="E28" s="64"/>
    </row>
    <row r="29" spans="1:5" ht="105" customHeight="1">
      <c r="A29" s="221"/>
      <c r="B29" s="66"/>
      <c r="C29" s="75" t="s">
        <v>205</v>
      </c>
      <c r="D29" s="222"/>
      <c r="E29" s="64"/>
    </row>
    <row r="30" spans="1:5" ht="55.5" customHeight="1">
      <c r="A30" s="221" t="s">
        <v>206</v>
      </c>
      <c r="B30" s="86">
        <v>5</v>
      </c>
      <c r="C30" s="67" t="s">
        <v>207</v>
      </c>
      <c r="D30" s="223">
        <f>B30*B31*(('Guidance and Sources (84)'!D26*'Guidance and Sources (84)'!C64)+'Guidance and Sources (84)'!H26)</f>
        <v>0</v>
      </c>
      <c r="E30" s="64"/>
    </row>
    <row r="31" spans="1:5" ht="60" customHeight="1">
      <c r="A31" s="221"/>
      <c r="B31" s="87"/>
      <c r="C31" s="88" t="s">
        <v>180</v>
      </c>
      <c r="D31" s="223"/>
      <c r="E31" s="64"/>
    </row>
    <row r="32" spans="1:5" ht="195" customHeight="1" thickBot="1">
      <c r="A32" s="215" t="s">
        <v>208</v>
      </c>
      <c r="B32" s="89">
        <v>10</v>
      </c>
      <c r="C32" s="90" t="s">
        <v>209</v>
      </c>
      <c r="D32" s="91">
        <f>B32*(('Guidance and Sources (84)'!D27*'Guidance and Sources (84)'!C62*1000000)+'Guidance and Sources (84)'!H27)</f>
        <v>9461.3520000000008</v>
      </c>
      <c r="E32" s="92"/>
    </row>
    <row r="33" spans="1:7" ht="29.25" thickBot="1">
      <c r="A33" s="215"/>
      <c r="B33" s="93">
        <v>5</v>
      </c>
      <c r="C33" s="94" t="s">
        <v>210</v>
      </c>
      <c r="D33" s="216">
        <f>B33*B34*(('Guidance and Sources (84)'!D28*'Guidance and Sources (84)'!C62)+'Guidance and Sources (84)'!H28)</f>
        <v>3847.7378057270498</v>
      </c>
      <c r="E33" s="64"/>
    </row>
    <row r="34" spans="1:7" ht="15" thickBot="1">
      <c r="A34" s="215"/>
      <c r="B34" s="95">
        <v>0.5</v>
      </c>
      <c r="C34" s="96" t="s">
        <v>180</v>
      </c>
      <c r="D34" s="216"/>
      <c r="E34" s="64"/>
    </row>
    <row r="35" spans="1:7">
      <c r="A35" s="97"/>
      <c r="B35" s="98"/>
      <c r="C35" s="99"/>
      <c r="D35" s="100"/>
      <c r="E35" s="64"/>
    </row>
    <row r="36" spans="1:7" ht="27">
      <c r="A36" s="101"/>
      <c r="B36" s="98"/>
      <c r="C36" s="102" t="s">
        <v>211</v>
      </c>
      <c r="D36" s="103">
        <f>SUM(D12:D34)+D7+D9</f>
        <v>61867.180938261525</v>
      </c>
      <c r="E36" s="64"/>
    </row>
    <row r="37" spans="1:7">
      <c r="A37" s="101"/>
      <c r="B37" s="104"/>
      <c r="C37" s="105"/>
      <c r="D37" s="106"/>
      <c r="E37" s="64"/>
    </row>
    <row r="38" spans="1:7">
      <c r="A38" s="107" t="s">
        <v>212</v>
      </c>
      <c r="B38" s="108"/>
      <c r="C38" s="108"/>
      <c r="D38" s="108"/>
      <c r="E38" s="64"/>
    </row>
    <row r="39" spans="1:7">
      <c r="A39" s="109"/>
      <c r="B39" s="110"/>
      <c r="C39" s="110"/>
      <c r="D39" s="110"/>
      <c r="E39" s="64"/>
    </row>
    <row r="40" spans="1:7">
      <c r="A40" s="111" t="s">
        <v>213</v>
      </c>
      <c r="B40" s="112"/>
      <c r="C40" s="58"/>
      <c r="D40" s="106"/>
      <c r="E40" s="61"/>
    </row>
    <row r="41" spans="1:7" ht="53.25" customHeight="1">
      <c r="A41" s="217" t="s">
        <v>214</v>
      </c>
      <c r="B41" s="217"/>
      <c r="C41" s="217"/>
      <c r="D41" s="217"/>
      <c r="E41" s="217"/>
    </row>
    <row r="42" spans="1:7" ht="26.25" customHeight="1">
      <c r="A42" s="217" t="s">
        <v>215</v>
      </c>
      <c r="B42" s="217"/>
      <c r="C42" s="217"/>
      <c r="D42" s="217"/>
      <c r="E42" s="217"/>
    </row>
    <row r="43" spans="1:7" ht="39.75" customHeight="1">
      <c r="A43" s="217" t="s">
        <v>216</v>
      </c>
      <c r="B43" s="217"/>
      <c r="C43" s="217"/>
      <c r="D43" s="217"/>
      <c r="E43" s="217"/>
    </row>
    <row r="44" spans="1:7" ht="39.75" customHeight="1">
      <c r="A44" s="218" t="s">
        <v>217</v>
      </c>
      <c r="B44" s="218"/>
      <c r="C44" s="218"/>
      <c r="D44" s="218"/>
      <c r="E44" s="218"/>
    </row>
    <row r="45" spans="1:7">
      <c r="A45" s="109"/>
      <c r="B45" s="110"/>
      <c r="C45" s="113"/>
      <c r="D45" s="114"/>
      <c r="E45" s="64"/>
    </row>
    <row r="46" spans="1:7" ht="12.75" customHeight="1">
      <c r="A46" s="214" t="s">
        <v>218</v>
      </c>
      <c r="B46" s="214"/>
      <c r="C46" s="214"/>
      <c r="D46" s="214"/>
      <c r="E46" s="214"/>
      <c r="G46" s="30"/>
    </row>
    <row r="47" spans="1:7">
      <c r="A47" s="214"/>
      <c r="B47" s="214"/>
      <c r="C47" s="214"/>
      <c r="D47" s="214"/>
      <c r="E47" s="214"/>
      <c r="G47" s="30"/>
    </row>
    <row r="48" spans="1:7">
      <c r="A48" s="214"/>
      <c r="B48" s="214"/>
      <c r="C48" s="214"/>
      <c r="D48" s="214"/>
      <c r="E48" s="214"/>
      <c r="G48" s="30"/>
    </row>
    <row r="49" spans="1:7">
      <c r="A49" s="214"/>
      <c r="B49" s="214"/>
      <c r="C49" s="214"/>
      <c r="D49" s="214"/>
      <c r="E49" s="214"/>
      <c r="G49" s="30"/>
    </row>
    <row r="50" spans="1:7">
      <c r="A50" s="214"/>
      <c r="B50" s="214"/>
      <c r="C50" s="214"/>
      <c r="D50" s="214"/>
      <c r="E50" s="214"/>
      <c r="G50" s="30"/>
    </row>
    <row r="51" spans="1:7">
      <c r="A51" s="214"/>
      <c r="B51" s="214"/>
      <c r="C51" s="214"/>
      <c r="D51" s="214"/>
      <c r="E51" s="214"/>
      <c r="G51" s="30"/>
    </row>
    <row r="52" spans="1:7">
      <c r="A52" s="214"/>
      <c r="B52" s="214"/>
      <c r="C52" s="214"/>
      <c r="D52" s="214"/>
      <c r="E52" s="214"/>
      <c r="G52" s="30"/>
    </row>
    <row r="53" spans="1:7">
      <c r="A53" s="214"/>
      <c r="B53" s="214"/>
      <c r="C53" s="214"/>
      <c r="D53" s="214"/>
      <c r="E53" s="214"/>
      <c r="G53" s="30"/>
    </row>
    <row r="54" spans="1:7">
      <c r="A54" s="214"/>
      <c r="B54" s="214"/>
      <c r="C54" s="214"/>
      <c r="D54" s="214"/>
      <c r="E54" s="214"/>
      <c r="F54" s="30"/>
      <c r="G54" s="30"/>
    </row>
    <row r="55" spans="1:7">
      <c r="A55" s="214"/>
      <c r="B55" s="214"/>
      <c r="C55" s="214"/>
      <c r="D55" s="214"/>
      <c r="E55" s="214"/>
      <c r="F55" s="30"/>
      <c r="G55" s="30"/>
    </row>
    <row r="56" spans="1:7">
      <c r="A56" s="214"/>
      <c r="B56" s="214"/>
      <c r="C56" s="214"/>
      <c r="D56" s="214"/>
      <c r="E56" s="214"/>
      <c r="F56" s="30"/>
      <c r="G56" s="30"/>
    </row>
    <row r="57" spans="1:7">
      <c r="D57" s="22"/>
      <c r="E57" s="22"/>
      <c r="F57" s="30"/>
      <c r="G57" s="30"/>
    </row>
    <row r="58" spans="1:7">
      <c r="D58" s="115"/>
      <c r="E58" s="115"/>
      <c r="F58" s="30"/>
      <c r="G58" s="30"/>
    </row>
    <row r="59" spans="1:7">
      <c r="B59" s="116"/>
      <c r="D59" s="22"/>
      <c r="E59" s="22"/>
      <c r="F59" s="30"/>
      <c r="G59" s="30"/>
    </row>
    <row r="60" spans="1:7">
      <c r="D60" s="22"/>
      <c r="E60" s="22"/>
      <c r="F60" s="30"/>
      <c r="G60" s="30"/>
    </row>
    <row r="61" spans="1:7">
      <c r="D61" s="22"/>
      <c r="E61" s="22"/>
      <c r="F61" s="30"/>
      <c r="G61" s="30"/>
    </row>
    <row r="62" spans="1:7">
      <c r="F62" s="30"/>
      <c r="G62" s="30"/>
    </row>
    <row r="66" spans="1:1">
      <c r="A66" s="116"/>
    </row>
    <row r="69" spans="1:1">
      <c r="A69" s="116"/>
    </row>
    <row r="70" spans="1:1">
      <c r="A70" s="116"/>
    </row>
    <row r="71" spans="1:1">
      <c r="A71" s="116"/>
    </row>
    <row r="72" spans="1:1">
      <c r="A72" s="116"/>
    </row>
    <row r="75" spans="1:1">
      <c r="A75" s="116"/>
    </row>
    <row r="76" spans="1:1">
      <c r="A76" s="116"/>
    </row>
    <row r="77" spans="1:1">
      <c r="A77" s="116"/>
    </row>
    <row r="78" spans="1:1">
      <c r="A78" s="116"/>
    </row>
    <row r="79" spans="1:1">
      <c r="A79" s="116"/>
    </row>
    <row r="80" spans="1:1">
      <c r="A80" s="116"/>
    </row>
    <row r="81" spans="1:1">
      <c r="A81" s="116"/>
    </row>
  </sheetData>
  <sheetProtection algorithmName="SHA-512" hashValue="pLNn8bxakYUcI0K+cL3++xkhR24OQzyQXOGfDnkxXyceRtteA7wusbtuOHF+Vc+k0mD0L5ky+SMrTnGqPK3vjQ==" saltValue="m0NnPbqe1lm3n+7VKVLfig==" spinCount="100000" sheet="1" objects="1" scenarios="1"/>
  <mergeCells count="26">
    <mergeCell ref="A14:A15"/>
    <mergeCell ref="D14:D15"/>
    <mergeCell ref="A3:E4"/>
    <mergeCell ref="A6:D6"/>
    <mergeCell ref="A9:A10"/>
    <mergeCell ref="D9:D10"/>
    <mergeCell ref="A11:D11"/>
    <mergeCell ref="A16:A17"/>
    <mergeCell ref="D16:D17"/>
    <mergeCell ref="A18:A19"/>
    <mergeCell ref="D18:D19"/>
    <mergeCell ref="B21:B22"/>
    <mergeCell ref="C21:C22"/>
    <mergeCell ref="A23:A25"/>
    <mergeCell ref="D23:D25"/>
    <mergeCell ref="A28:A29"/>
    <mergeCell ref="D28:D29"/>
    <mergeCell ref="A30:A31"/>
    <mergeCell ref="D30:D31"/>
    <mergeCell ref="A46:E56"/>
    <mergeCell ref="A32:A34"/>
    <mergeCell ref="D33:D34"/>
    <mergeCell ref="A41:E41"/>
    <mergeCell ref="A42:E42"/>
    <mergeCell ref="A43:E43"/>
    <mergeCell ref="A44:E44"/>
  </mergeCells>
  <pageMargins left="0.70000000000000007" right="0.70000000000000007" top="1.1437000000000002" bottom="1.1437000000000002" header="0.75000000000000011" footer="0.75000000000000011"/>
  <pageSetup paperSize="0" fitToWidth="0" fitToHeight="0" orientation="portrait" horizontalDpi="0" verticalDpi="0" copies="0"/>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G81"/>
  <sheetViews>
    <sheetView topLeftCell="A4" workbookViewId="0">
      <selection activeCell="B10" sqref="B10"/>
    </sheetView>
  </sheetViews>
  <sheetFormatPr defaultRowHeight="14.25"/>
  <cols>
    <col min="1" max="1" width="36" customWidth="1"/>
    <col min="2" max="2" width="16.25" customWidth="1"/>
    <col min="3" max="3" width="29.75" customWidth="1"/>
    <col min="4" max="4" width="26" customWidth="1"/>
    <col min="5" max="5" width="9" customWidth="1"/>
    <col min="6" max="6" width="8.375" customWidth="1"/>
    <col min="7" max="256" width="8" customWidth="1"/>
    <col min="257" max="257" width="36" customWidth="1"/>
    <col min="258" max="258" width="16.25" customWidth="1"/>
    <col min="259" max="259" width="29.75" customWidth="1"/>
    <col min="260" max="260" width="26" customWidth="1"/>
    <col min="261" max="261" width="9" customWidth="1"/>
    <col min="262" max="262" width="8.375" customWidth="1"/>
    <col min="263" max="512" width="8" customWidth="1"/>
    <col min="513" max="513" width="36" customWidth="1"/>
    <col min="514" max="514" width="16.25" customWidth="1"/>
    <col min="515" max="515" width="29.75" customWidth="1"/>
    <col min="516" max="516" width="26" customWidth="1"/>
    <col min="517" max="517" width="9" customWidth="1"/>
    <col min="518" max="518" width="8.375" customWidth="1"/>
    <col min="519" max="768" width="8" customWidth="1"/>
    <col min="769" max="769" width="36" customWidth="1"/>
    <col min="770" max="770" width="16.25" customWidth="1"/>
    <col min="771" max="771" width="29.75" customWidth="1"/>
    <col min="772" max="772" width="26" customWidth="1"/>
    <col min="773" max="773" width="9" customWidth="1"/>
    <col min="774" max="774" width="8.375" customWidth="1"/>
    <col min="775" max="1024" width="8" customWidth="1"/>
  </cols>
  <sheetData>
    <row r="1" spans="1:5" ht="18">
      <c r="A1" s="57" t="s">
        <v>168</v>
      </c>
      <c r="B1" s="58"/>
      <c r="C1" s="58"/>
      <c r="D1" s="58"/>
      <c r="E1" s="59"/>
    </row>
    <row r="2" spans="1:5" ht="18">
      <c r="A2" s="60">
        <v>40525</v>
      </c>
      <c r="B2" s="58"/>
      <c r="C2" s="58"/>
      <c r="D2" s="58"/>
      <c r="E2" s="61"/>
    </row>
    <row r="3" spans="1:5" ht="12.75" customHeight="1">
      <c r="A3" s="228" t="s">
        <v>169</v>
      </c>
      <c r="B3" s="228"/>
      <c r="C3" s="228"/>
      <c r="D3" s="228"/>
      <c r="E3" s="228"/>
    </row>
    <row r="4" spans="1:5">
      <c r="A4" s="228"/>
      <c r="B4" s="228"/>
      <c r="C4" s="228"/>
      <c r="D4" s="228"/>
      <c r="E4" s="228"/>
    </row>
    <row r="5" spans="1:5" ht="96.75" thickBot="1">
      <c r="A5" s="62" t="s">
        <v>170</v>
      </c>
      <c r="B5" s="62" t="s">
        <v>171</v>
      </c>
      <c r="C5" s="62" t="s">
        <v>172</v>
      </c>
      <c r="D5" s="63" t="s">
        <v>173</v>
      </c>
      <c r="E5" s="61"/>
    </row>
    <row r="6" spans="1:5" ht="15" customHeight="1">
      <c r="A6" s="229" t="s">
        <v>174</v>
      </c>
      <c r="B6" s="229"/>
      <c r="C6" s="229"/>
      <c r="D6" s="229"/>
      <c r="E6" s="64"/>
    </row>
    <row r="7" spans="1:5" ht="105" customHeight="1">
      <c r="A7" s="65" t="s">
        <v>175</v>
      </c>
      <c r="B7" s="66">
        <v>2</v>
      </c>
      <c r="C7" s="67" t="s">
        <v>176</v>
      </c>
      <c r="D7" s="68">
        <f>B7*'Guidance and Sources (84)'!D10*1000*'Guidance and Sources (84)'!C62</f>
        <v>7413.4000000000005</v>
      </c>
      <c r="E7" s="64"/>
    </row>
    <row r="8" spans="1:5" ht="25.5">
      <c r="A8" s="69" t="s">
        <v>177</v>
      </c>
      <c r="B8" s="70"/>
      <c r="C8" s="70"/>
      <c r="D8" s="71"/>
      <c r="E8" s="64"/>
    </row>
    <row r="9" spans="1:5" ht="55.5" customHeight="1" thickBot="1">
      <c r="A9" s="215" t="s">
        <v>178</v>
      </c>
      <c r="B9" s="66">
        <v>2</v>
      </c>
      <c r="C9" s="67" t="s">
        <v>179</v>
      </c>
      <c r="D9" s="230">
        <f>B9*B10*(('Guidance and Sources (84)'!D25*'Guidance and Sources (84)'!C64)+'Guidance and Sources (84)'!H25)</f>
        <v>3146.4485369868371</v>
      </c>
      <c r="E9" s="64"/>
    </row>
    <row r="10" spans="1:5" ht="60.75" customHeight="1" thickBot="1">
      <c r="A10" s="215"/>
      <c r="B10" s="72">
        <v>0.9</v>
      </c>
      <c r="C10" s="73" t="s">
        <v>180</v>
      </c>
      <c r="D10" s="230"/>
      <c r="E10" s="64"/>
    </row>
    <row r="11" spans="1:5" ht="15" customHeight="1">
      <c r="A11" s="231" t="s">
        <v>181</v>
      </c>
      <c r="B11" s="231"/>
      <c r="C11" s="231"/>
      <c r="D11" s="231"/>
      <c r="E11" s="64"/>
    </row>
    <row r="12" spans="1:5" ht="105" customHeight="1">
      <c r="A12" s="74" t="s">
        <v>182</v>
      </c>
      <c r="B12" s="66">
        <v>0</v>
      </c>
      <c r="C12" s="75" t="s">
        <v>183</v>
      </c>
      <c r="D12" s="76">
        <f>B12*'Guidance and Sources (84)'!D9*1000*'Guidance and Sources (84)'!C62</f>
        <v>0</v>
      </c>
      <c r="E12" s="64"/>
    </row>
    <row r="13" spans="1:5" ht="105" customHeight="1">
      <c r="A13" s="65" t="s">
        <v>184</v>
      </c>
      <c r="B13" s="66"/>
      <c r="C13" s="67" t="s">
        <v>185</v>
      </c>
      <c r="D13" s="76">
        <f>B13*'Guidance and Sources (84)'!D11*1000*'Guidance and Sources (84)'!C62</f>
        <v>0</v>
      </c>
      <c r="E13" s="64"/>
    </row>
    <row r="14" spans="1:5" ht="105" customHeight="1">
      <c r="A14" s="219" t="s">
        <v>186</v>
      </c>
      <c r="B14" s="66"/>
      <c r="C14" s="75" t="s">
        <v>187</v>
      </c>
      <c r="D14" s="225">
        <f>(B14*'Guidance and Sources (84)'!D15*'Guidance and Sources (84)'!C62)+(B15*'Guidance and Sources (84)'!D16*'Guidance and Sources (84)'!C62)</f>
        <v>0</v>
      </c>
      <c r="E14" s="64"/>
    </row>
    <row r="15" spans="1:5" ht="60" customHeight="1">
      <c r="A15" s="219"/>
      <c r="B15" s="66"/>
      <c r="C15" s="75" t="s">
        <v>188</v>
      </c>
      <c r="D15" s="225"/>
      <c r="E15" s="64"/>
    </row>
    <row r="16" spans="1:5" ht="90" customHeight="1">
      <c r="A16" s="224" t="s">
        <v>189</v>
      </c>
      <c r="B16" s="66"/>
      <c r="C16" s="75" t="s">
        <v>190</v>
      </c>
      <c r="D16" s="225">
        <f>B16*B17*'Guidance and Sources (84)'!D17*'Guidance and Sources (84)'!C62*365</f>
        <v>0</v>
      </c>
      <c r="E16" s="64"/>
    </row>
    <row r="17" spans="1:5" ht="60.75" customHeight="1" thickBot="1">
      <c r="A17" s="224"/>
      <c r="B17" s="77"/>
      <c r="C17" s="73" t="s">
        <v>180</v>
      </c>
      <c r="D17" s="225"/>
      <c r="E17" s="64"/>
    </row>
    <row r="18" spans="1:5" ht="90" customHeight="1">
      <c r="A18" s="219" t="s">
        <v>191</v>
      </c>
      <c r="B18" s="66"/>
      <c r="C18" s="75" t="s">
        <v>190</v>
      </c>
      <c r="D18" s="225">
        <f>B18*B19*'Guidance and Sources (84)'!D22*1000*'Guidance and Sources (84)'!C62</f>
        <v>0</v>
      </c>
      <c r="E18" s="64"/>
    </row>
    <row r="19" spans="1:5" ht="60.75" customHeight="1" thickBot="1">
      <c r="A19" s="219"/>
      <c r="B19" s="77"/>
      <c r="C19" s="73" t="s">
        <v>180</v>
      </c>
      <c r="D19" s="225"/>
      <c r="E19" s="64"/>
    </row>
    <row r="20" spans="1:5" ht="90" customHeight="1">
      <c r="A20" s="78" t="s">
        <v>192</v>
      </c>
      <c r="B20" s="79"/>
      <c r="C20" s="80" t="s">
        <v>193</v>
      </c>
      <c r="D20" s="81">
        <f>B20*1000*'Guidance and Sources (84)'!D20</f>
        <v>0</v>
      </c>
      <c r="E20" s="64"/>
    </row>
    <row r="21" spans="1:5" ht="102" customHeight="1">
      <c r="A21" s="74" t="s">
        <v>194</v>
      </c>
      <c r="B21" s="226"/>
      <c r="C21" s="227" t="s">
        <v>195</v>
      </c>
      <c r="D21" s="68">
        <f>B21*('Guidance and Sources (84)'!D7+'Guidance and Sources (84)'!D8)*365*'Guidance and Sources (84)'!C62</f>
        <v>0</v>
      </c>
      <c r="E21" s="64"/>
    </row>
    <row r="22" spans="1:5" ht="76.5" customHeight="1">
      <c r="A22" s="74" t="s">
        <v>196</v>
      </c>
      <c r="B22" s="226"/>
      <c r="C22" s="227"/>
      <c r="D22" s="68">
        <f>B21*'Guidance and Sources (84)'!D23</f>
        <v>0</v>
      </c>
      <c r="E22" s="64"/>
    </row>
    <row r="23" spans="1:5" ht="75" customHeight="1">
      <c r="A23" s="219" t="s">
        <v>197</v>
      </c>
      <c r="B23" s="82"/>
      <c r="C23" s="75" t="s">
        <v>198</v>
      </c>
      <c r="D23" s="220">
        <f>B23*B24*25*1000*'Guidance and Sources (84)'!C62</f>
        <v>0</v>
      </c>
      <c r="E23" s="64"/>
    </row>
    <row r="24" spans="1:5" ht="63.75" customHeight="1">
      <c r="A24" s="219"/>
      <c r="B24" s="82"/>
      <c r="C24" s="65" t="s">
        <v>199</v>
      </c>
      <c r="D24" s="220"/>
      <c r="E24" s="64"/>
    </row>
    <row r="25" spans="1:5" ht="60.75" customHeight="1" thickBot="1">
      <c r="A25" s="219"/>
      <c r="B25" s="83"/>
      <c r="C25" s="73" t="s">
        <v>180</v>
      </c>
      <c r="D25" s="220"/>
      <c r="E25" s="64"/>
    </row>
    <row r="26" spans="1:5" ht="51" customHeight="1">
      <c r="A26" s="69" t="s">
        <v>200</v>
      </c>
      <c r="B26" s="70">
        <v>0</v>
      </c>
      <c r="C26" s="70"/>
      <c r="D26" s="71"/>
      <c r="E26" s="64"/>
    </row>
    <row r="27" spans="1:5" ht="89.25" customHeight="1">
      <c r="A27" s="84" t="s">
        <v>201</v>
      </c>
      <c r="B27" s="82">
        <v>228.144564</v>
      </c>
      <c r="C27" s="65" t="s">
        <v>202</v>
      </c>
      <c r="D27" s="85">
        <f>B27*('Guidance and Sources (84)'!D19+'Guidance and Sources (84)'!H19)</f>
        <v>16867.615098873961</v>
      </c>
      <c r="E27" s="64"/>
    </row>
    <row r="28" spans="1:5" ht="75" customHeight="1">
      <c r="A28" s="221" t="s">
        <v>203</v>
      </c>
      <c r="B28" s="66">
        <v>5</v>
      </c>
      <c r="C28" s="75" t="s">
        <v>204</v>
      </c>
      <c r="D28" s="222">
        <f>(B28*(('Guidance and Sources (84)'!D12*'Guidance and Sources (84)'!C62)+('Guidance and Sources (84)'!H12*'Guidance and Sources (84)'!C63)))+(B29*(('Guidance and Sources (84)'!D13*'Guidance and Sources (84)'!C62)+('Guidance and Sources (84)'!H13*'Guidance and Sources (84)'!C63)))</f>
        <v>10.930422699999999</v>
      </c>
      <c r="E28" s="64"/>
    </row>
    <row r="29" spans="1:5" ht="105" customHeight="1">
      <c r="A29" s="221"/>
      <c r="B29" s="66"/>
      <c r="C29" s="75" t="s">
        <v>205</v>
      </c>
      <c r="D29" s="222"/>
      <c r="E29" s="64"/>
    </row>
    <row r="30" spans="1:5" ht="55.5" customHeight="1">
      <c r="A30" s="221" t="s">
        <v>206</v>
      </c>
      <c r="B30" s="86">
        <v>5</v>
      </c>
      <c r="C30" s="67" t="s">
        <v>207</v>
      </c>
      <c r="D30" s="223">
        <f>B30*B31*(('Guidance and Sources (84)'!D26*'Guidance and Sources (84)'!C64)+'Guidance and Sources (84)'!H26)</f>
        <v>0</v>
      </c>
      <c r="E30" s="64"/>
    </row>
    <row r="31" spans="1:5" ht="60" customHeight="1">
      <c r="A31" s="221"/>
      <c r="B31" s="87"/>
      <c r="C31" s="88" t="s">
        <v>180</v>
      </c>
      <c r="D31" s="223"/>
      <c r="E31" s="64"/>
    </row>
    <row r="32" spans="1:5" ht="195" customHeight="1" thickBot="1">
      <c r="A32" s="215" t="s">
        <v>208</v>
      </c>
      <c r="B32" s="89">
        <v>10</v>
      </c>
      <c r="C32" s="90" t="s">
        <v>209</v>
      </c>
      <c r="D32" s="91">
        <f>B32*(('Guidance and Sources (84)'!D27*'Guidance and Sources (84)'!C62*1000000)+'Guidance and Sources (84)'!H27)</f>
        <v>9461.3520000000008</v>
      </c>
      <c r="E32" s="92"/>
    </row>
    <row r="33" spans="1:7" ht="29.25" thickBot="1">
      <c r="A33" s="215"/>
      <c r="B33" s="93">
        <v>5</v>
      </c>
      <c r="C33" s="94" t="s">
        <v>210</v>
      </c>
      <c r="D33" s="216">
        <f>B33*B34*(('Guidance and Sources (84)'!D28*'Guidance and Sources (84)'!C62)+'Guidance and Sources (84)'!H28)</f>
        <v>3847.7378057270498</v>
      </c>
      <c r="E33" s="64"/>
    </row>
    <row r="34" spans="1:7" ht="15" thickBot="1">
      <c r="A34" s="215"/>
      <c r="B34" s="95">
        <v>0.5</v>
      </c>
      <c r="C34" s="96" t="s">
        <v>180</v>
      </c>
      <c r="D34" s="216"/>
      <c r="E34" s="64"/>
    </row>
    <row r="35" spans="1:7">
      <c r="A35" s="97"/>
      <c r="B35" s="98"/>
      <c r="C35" s="99"/>
      <c r="D35" s="100"/>
      <c r="E35" s="64"/>
    </row>
    <row r="36" spans="1:7" ht="27">
      <c r="A36" s="101"/>
      <c r="B36" s="98"/>
      <c r="C36" s="102" t="s">
        <v>211</v>
      </c>
      <c r="D36" s="103">
        <f>SUM(D12:D34)+D7+D9</f>
        <v>40747.483864287846</v>
      </c>
      <c r="E36" s="64"/>
    </row>
    <row r="37" spans="1:7">
      <c r="A37" s="101"/>
      <c r="B37" s="104"/>
      <c r="C37" s="105"/>
      <c r="D37" s="106"/>
      <c r="E37" s="64"/>
    </row>
    <row r="38" spans="1:7">
      <c r="A38" s="107" t="s">
        <v>212</v>
      </c>
      <c r="B38" s="108"/>
      <c r="C38" s="108"/>
      <c r="D38" s="108"/>
      <c r="E38" s="64"/>
    </row>
    <row r="39" spans="1:7">
      <c r="A39" s="109"/>
      <c r="B39" s="110"/>
      <c r="C39" s="110"/>
      <c r="D39" s="110"/>
      <c r="E39" s="64"/>
    </row>
    <row r="40" spans="1:7">
      <c r="A40" s="111" t="s">
        <v>213</v>
      </c>
      <c r="B40" s="112"/>
      <c r="C40" s="58"/>
      <c r="D40" s="106"/>
      <c r="E40" s="61"/>
    </row>
    <row r="41" spans="1:7" ht="53.25" customHeight="1">
      <c r="A41" s="217" t="s">
        <v>214</v>
      </c>
      <c r="B41" s="217"/>
      <c r="C41" s="217"/>
      <c r="D41" s="217"/>
      <c r="E41" s="217"/>
    </row>
    <row r="42" spans="1:7" ht="26.25" customHeight="1">
      <c r="A42" s="217" t="s">
        <v>215</v>
      </c>
      <c r="B42" s="217"/>
      <c r="C42" s="217"/>
      <c r="D42" s="217"/>
      <c r="E42" s="217"/>
    </row>
    <row r="43" spans="1:7" ht="39.75" customHeight="1">
      <c r="A43" s="217" t="s">
        <v>216</v>
      </c>
      <c r="B43" s="217"/>
      <c r="C43" s="217"/>
      <c r="D43" s="217"/>
      <c r="E43" s="217"/>
    </row>
    <row r="44" spans="1:7" ht="39.75" customHeight="1">
      <c r="A44" s="218" t="s">
        <v>217</v>
      </c>
      <c r="B44" s="218"/>
      <c r="C44" s="218"/>
      <c r="D44" s="218"/>
      <c r="E44" s="218"/>
    </row>
    <row r="45" spans="1:7">
      <c r="A45" s="109"/>
      <c r="B45" s="110"/>
      <c r="C45" s="113"/>
      <c r="D45" s="114"/>
      <c r="E45" s="64"/>
    </row>
    <row r="46" spans="1:7" ht="12.75" customHeight="1">
      <c r="A46" s="214" t="s">
        <v>218</v>
      </c>
      <c r="B46" s="214"/>
      <c r="C46" s="214"/>
      <c r="D46" s="214"/>
      <c r="E46" s="214"/>
      <c r="G46" s="30"/>
    </row>
    <row r="47" spans="1:7">
      <c r="A47" s="214"/>
      <c r="B47" s="214"/>
      <c r="C47" s="214"/>
      <c r="D47" s="214"/>
      <c r="E47" s="214"/>
      <c r="G47" s="30"/>
    </row>
    <row r="48" spans="1:7">
      <c r="A48" s="214"/>
      <c r="B48" s="214"/>
      <c r="C48" s="214"/>
      <c r="D48" s="214"/>
      <c r="E48" s="214"/>
      <c r="G48" s="30"/>
    </row>
    <row r="49" spans="1:7">
      <c r="A49" s="214"/>
      <c r="B49" s="214"/>
      <c r="C49" s="214"/>
      <c r="D49" s="214"/>
      <c r="E49" s="214"/>
      <c r="G49" s="30"/>
    </row>
    <row r="50" spans="1:7">
      <c r="A50" s="214"/>
      <c r="B50" s="214"/>
      <c r="C50" s="214"/>
      <c r="D50" s="214"/>
      <c r="E50" s="214"/>
      <c r="G50" s="30"/>
    </row>
    <row r="51" spans="1:7">
      <c r="A51" s="214"/>
      <c r="B51" s="214"/>
      <c r="C51" s="214"/>
      <c r="D51" s="214"/>
      <c r="E51" s="214"/>
      <c r="G51" s="30"/>
    </row>
    <row r="52" spans="1:7">
      <c r="A52" s="214"/>
      <c r="B52" s="214"/>
      <c r="C52" s="214"/>
      <c r="D52" s="214"/>
      <c r="E52" s="214"/>
      <c r="G52" s="30"/>
    </row>
    <row r="53" spans="1:7">
      <c r="A53" s="214"/>
      <c r="B53" s="214"/>
      <c r="C53" s="214"/>
      <c r="D53" s="214"/>
      <c r="E53" s="214"/>
      <c r="G53" s="30"/>
    </row>
    <row r="54" spans="1:7">
      <c r="A54" s="214"/>
      <c r="B54" s="214"/>
      <c r="C54" s="214"/>
      <c r="D54" s="214"/>
      <c r="E54" s="214"/>
      <c r="F54" s="30"/>
      <c r="G54" s="30"/>
    </row>
    <row r="55" spans="1:7">
      <c r="A55" s="214"/>
      <c r="B55" s="214"/>
      <c r="C55" s="214"/>
      <c r="D55" s="214"/>
      <c r="E55" s="214"/>
      <c r="F55" s="30"/>
      <c r="G55" s="30"/>
    </row>
    <row r="56" spans="1:7">
      <c r="A56" s="214"/>
      <c r="B56" s="214"/>
      <c r="C56" s="214"/>
      <c r="D56" s="214"/>
      <c r="E56" s="214"/>
      <c r="F56" s="30"/>
      <c r="G56" s="30"/>
    </row>
    <row r="57" spans="1:7">
      <c r="D57" s="22"/>
      <c r="E57" s="22"/>
      <c r="F57" s="30"/>
      <c r="G57" s="30"/>
    </row>
    <row r="58" spans="1:7">
      <c r="D58" s="115"/>
      <c r="E58" s="115"/>
      <c r="F58" s="30"/>
      <c r="G58" s="30"/>
    </row>
    <row r="59" spans="1:7">
      <c r="B59" s="116"/>
      <c r="D59" s="22"/>
      <c r="E59" s="22"/>
      <c r="F59" s="30"/>
      <c r="G59" s="30"/>
    </row>
    <row r="60" spans="1:7">
      <c r="D60" s="22"/>
      <c r="E60" s="22"/>
      <c r="F60" s="30"/>
      <c r="G60" s="30"/>
    </row>
    <row r="61" spans="1:7">
      <c r="D61" s="22"/>
      <c r="E61" s="22"/>
      <c r="F61" s="30"/>
      <c r="G61" s="30"/>
    </row>
    <row r="62" spans="1:7">
      <c r="F62" s="30"/>
      <c r="G62" s="30"/>
    </row>
    <row r="66" spans="1:1">
      <c r="A66" s="116"/>
    </row>
    <row r="69" spans="1:1">
      <c r="A69" s="116"/>
    </row>
    <row r="70" spans="1:1">
      <c r="A70" s="116"/>
    </row>
    <row r="71" spans="1:1">
      <c r="A71" s="116"/>
    </row>
    <row r="72" spans="1:1">
      <c r="A72" s="116"/>
    </row>
    <row r="75" spans="1:1">
      <c r="A75" s="116"/>
    </row>
    <row r="76" spans="1:1">
      <c r="A76" s="116"/>
    </row>
    <row r="77" spans="1:1">
      <c r="A77" s="116"/>
    </row>
    <row r="78" spans="1:1">
      <c r="A78" s="116"/>
    </row>
    <row r="79" spans="1:1">
      <c r="A79" s="116"/>
    </row>
    <row r="80" spans="1:1">
      <c r="A80" s="116"/>
    </row>
    <row r="81" spans="1:1">
      <c r="A81" s="116"/>
    </row>
  </sheetData>
  <sheetProtection algorithmName="SHA-512" hashValue="yP182I8Vf0Dld0WNDSTK34Z27AjSAaTyhari9kw7BI1moh+VH3W8yew9ydMjfxloRtOFj8+vaUonlTHKN5KEFA==" saltValue="OlQaREpJuRCMsatL79ibYQ==" spinCount="100000" sheet="1" objects="1" scenarios="1"/>
  <mergeCells count="26">
    <mergeCell ref="A14:A15"/>
    <mergeCell ref="D14:D15"/>
    <mergeCell ref="A3:E4"/>
    <mergeCell ref="A6:D6"/>
    <mergeCell ref="A9:A10"/>
    <mergeCell ref="D9:D10"/>
    <mergeCell ref="A11:D11"/>
    <mergeCell ref="A16:A17"/>
    <mergeCell ref="D16:D17"/>
    <mergeCell ref="A18:A19"/>
    <mergeCell ref="D18:D19"/>
    <mergeCell ref="B21:B22"/>
    <mergeCell ref="C21:C22"/>
    <mergeCell ref="A23:A25"/>
    <mergeCell ref="D23:D25"/>
    <mergeCell ref="A28:A29"/>
    <mergeCell ref="D28:D29"/>
    <mergeCell ref="A30:A31"/>
    <mergeCell ref="D30:D31"/>
    <mergeCell ref="A46:E56"/>
    <mergeCell ref="A32:A34"/>
    <mergeCell ref="D33:D34"/>
    <mergeCell ref="A41:E41"/>
    <mergeCell ref="A42:E42"/>
    <mergeCell ref="A43:E43"/>
    <mergeCell ref="A44:E44"/>
  </mergeCells>
  <pageMargins left="0.70000000000000007" right="0.70000000000000007" top="1.1437000000000002" bottom="1.1437000000000002" header="0.75000000000000011" footer="0.75000000000000011"/>
  <pageSetup paperSize="0" fitToWidth="0" fitToHeight="0" orientation="portrait" horizontalDpi="0" verticalDpi="0" copies="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63"/>
  <sheetViews>
    <sheetView workbookViewId="0">
      <selection activeCell="C64" sqref="C64"/>
    </sheetView>
  </sheetViews>
  <sheetFormatPr defaultRowHeight="14.25"/>
  <cols>
    <col min="1" max="1" width="14" customWidth="1"/>
    <col min="2" max="12" width="17.625" customWidth="1"/>
    <col min="13" max="1024" width="8.5" customWidth="1"/>
  </cols>
  <sheetData>
    <row r="1" spans="1:12" ht="15.75">
      <c r="A1" t="s">
        <v>25</v>
      </c>
      <c r="B1" s="14" t="s">
        <v>26</v>
      </c>
    </row>
    <row r="2" spans="1:12">
      <c r="A2" s="15" t="s">
        <v>27</v>
      </c>
      <c r="B2" s="16" t="s">
        <v>28</v>
      </c>
      <c r="C2" s="16" t="s">
        <v>29</v>
      </c>
      <c r="D2" s="16" t="s">
        <v>30</v>
      </c>
      <c r="E2" s="16" t="s">
        <v>31</v>
      </c>
      <c r="F2" s="16" t="s">
        <v>32</v>
      </c>
      <c r="G2" s="16" t="s">
        <v>33</v>
      </c>
      <c r="H2" s="16" t="s">
        <v>34</v>
      </c>
      <c r="I2" s="16" t="s">
        <v>35</v>
      </c>
      <c r="J2" s="16" t="s">
        <v>36</v>
      </c>
      <c r="K2" s="16" t="s">
        <v>37</v>
      </c>
      <c r="L2" s="16"/>
    </row>
    <row r="3" spans="1:12" ht="89.25">
      <c r="A3" s="17" t="s">
        <v>38</v>
      </c>
      <c r="B3" s="18" t="s">
        <v>39</v>
      </c>
      <c r="C3" s="18" t="s">
        <v>40</v>
      </c>
      <c r="D3" s="18" t="s">
        <v>41</v>
      </c>
      <c r="E3" s="18" t="s">
        <v>42</v>
      </c>
      <c r="F3" s="18" t="s">
        <v>43</v>
      </c>
      <c r="G3" s="18" t="s">
        <v>44</v>
      </c>
      <c r="H3" s="18" t="s">
        <v>45</v>
      </c>
      <c r="I3" s="18" t="s">
        <v>46</v>
      </c>
      <c r="J3" s="18" t="s">
        <v>47</v>
      </c>
      <c r="K3" s="18" t="s">
        <v>48</v>
      </c>
      <c r="L3" s="18"/>
    </row>
    <row r="4" spans="1:12" hidden="1">
      <c r="A4" s="19">
        <v>24653</v>
      </c>
      <c r="C4">
        <v>257</v>
      </c>
      <c r="G4">
        <v>77130</v>
      </c>
      <c r="H4">
        <v>28154</v>
      </c>
    </row>
    <row r="5" spans="1:12" hidden="1">
      <c r="A5" s="19">
        <v>25019</v>
      </c>
      <c r="C5">
        <v>310</v>
      </c>
      <c r="G5">
        <v>79015</v>
      </c>
      <c r="H5">
        <v>30419</v>
      </c>
    </row>
    <row r="6" spans="1:12" hidden="1">
      <c r="A6" s="19">
        <v>25384</v>
      </c>
      <c r="C6">
        <v>381</v>
      </c>
      <c r="G6">
        <v>84406</v>
      </c>
      <c r="H6">
        <v>34674</v>
      </c>
    </row>
    <row r="7" spans="1:12" hidden="1">
      <c r="A7" s="19">
        <v>25749</v>
      </c>
      <c r="C7">
        <v>319</v>
      </c>
      <c r="G7">
        <v>86811</v>
      </c>
      <c r="H7">
        <v>37529</v>
      </c>
    </row>
    <row r="8" spans="1:12" hidden="1">
      <c r="A8" s="19">
        <v>26114</v>
      </c>
      <c r="C8">
        <v>451</v>
      </c>
      <c r="G8">
        <v>87617</v>
      </c>
      <c r="H8">
        <v>40988</v>
      </c>
    </row>
    <row r="9" spans="1:12" hidden="1">
      <c r="A9" s="19">
        <v>26480</v>
      </c>
      <c r="C9">
        <v>67</v>
      </c>
      <c r="G9">
        <v>89042</v>
      </c>
      <c r="H9">
        <v>43950</v>
      </c>
    </row>
    <row r="10" spans="1:12" hidden="1">
      <c r="A10" s="19">
        <v>26845</v>
      </c>
      <c r="C10">
        <v>474</v>
      </c>
      <c r="G10">
        <v>86670</v>
      </c>
      <c r="H10">
        <v>42953</v>
      </c>
    </row>
    <row r="11" spans="1:12" hidden="1">
      <c r="A11" s="19">
        <v>27210</v>
      </c>
      <c r="C11">
        <v>392</v>
      </c>
      <c r="G11">
        <v>82999</v>
      </c>
      <c r="H11">
        <v>43080</v>
      </c>
    </row>
    <row r="12" spans="1:12" hidden="1">
      <c r="A12" s="19">
        <v>27575</v>
      </c>
      <c r="C12">
        <v>277</v>
      </c>
      <c r="G12">
        <v>82380</v>
      </c>
      <c r="H12">
        <v>37466</v>
      </c>
    </row>
    <row r="13" spans="1:12" hidden="1">
      <c r="A13" s="19">
        <v>27941</v>
      </c>
      <c r="C13">
        <v>415</v>
      </c>
      <c r="G13">
        <v>87408</v>
      </c>
      <c r="H13">
        <v>42422</v>
      </c>
    </row>
    <row r="14" spans="1:12" hidden="1">
      <c r="A14" s="19">
        <v>28306</v>
      </c>
      <c r="C14">
        <v>342</v>
      </c>
      <c r="G14">
        <v>77575</v>
      </c>
      <c r="H14">
        <v>40532</v>
      </c>
    </row>
    <row r="15" spans="1:12" hidden="1">
      <c r="A15" s="19">
        <v>28671</v>
      </c>
      <c r="C15">
        <v>889</v>
      </c>
      <c r="G15">
        <v>83391</v>
      </c>
      <c r="H15">
        <v>39821</v>
      </c>
    </row>
    <row r="16" spans="1:12" hidden="1">
      <c r="A16" s="19">
        <v>29036</v>
      </c>
      <c r="C16">
        <v>2488</v>
      </c>
      <c r="G16">
        <v>82784</v>
      </c>
      <c r="H16">
        <v>47326</v>
      </c>
    </row>
    <row r="17" spans="1:10" hidden="1">
      <c r="A17" s="19">
        <v>29402</v>
      </c>
      <c r="C17">
        <v>0</v>
      </c>
      <c r="G17">
        <v>68080</v>
      </c>
      <c r="H17">
        <v>28576</v>
      </c>
    </row>
    <row r="18" spans="1:10" hidden="1">
      <c r="A18" s="19">
        <v>29767</v>
      </c>
      <c r="C18">
        <v>0</v>
      </c>
      <c r="G18">
        <v>70423</v>
      </c>
      <c r="H18">
        <v>32055</v>
      </c>
    </row>
    <row r="19" spans="1:10" hidden="1">
      <c r="A19" s="19">
        <v>30132</v>
      </c>
      <c r="C19">
        <v>1</v>
      </c>
      <c r="G19">
        <v>67500</v>
      </c>
      <c r="H19">
        <v>30871</v>
      </c>
    </row>
    <row r="20" spans="1:10" hidden="1">
      <c r="A20" s="19">
        <v>30497</v>
      </c>
      <c r="C20">
        <v>1</v>
      </c>
      <c r="D20">
        <v>1</v>
      </c>
      <c r="G20">
        <v>64716</v>
      </c>
      <c r="H20">
        <v>30758</v>
      </c>
    </row>
    <row r="21" spans="1:10" hidden="1">
      <c r="A21" s="19">
        <v>30863</v>
      </c>
      <c r="C21">
        <v>2</v>
      </c>
      <c r="D21">
        <v>2</v>
      </c>
      <c r="G21">
        <v>73012</v>
      </c>
      <c r="H21">
        <v>25299</v>
      </c>
    </row>
    <row r="22" spans="1:10" hidden="1">
      <c r="A22" s="19">
        <v>31228</v>
      </c>
      <c r="C22">
        <v>1</v>
      </c>
      <c r="D22">
        <v>1</v>
      </c>
      <c r="G22">
        <v>68399</v>
      </c>
      <c r="H22">
        <v>24134</v>
      </c>
    </row>
    <row r="23" spans="1:10" hidden="1">
      <c r="A23" s="19">
        <v>31593</v>
      </c>
      <c r="C23">
        <v>1</v>
      </c>
      <c r="D23">
        <v>1</v>
      </c>
      <c r="G23">
        <v>71896</v>
      </c>
      <c r="H23">
        <v>23816</v>
      </c>
    </row>
    <row r="24" spans="1:10" hidden="1">
      <c r="A24" s="19">
        <v>31958</v>
      </c>
      <c r="C24">
        <v>2</v>
      </c>
      <c r="D24">
        <v>2</v>
      </c>
      <c r="G24">
        <v>70670</v>
      </c>
      <c r="H24">
        <v>25544</v>
      </c>
    </row>
    <row r="25" spans="1:10" hidden="1">
      <c r="A25" s="19">
        <v>32324</v>
      </c>
      <c r="C25">
        <v>1</v>
      </c>
      <c r="D25">
        <v>1</v>
      </c>
      <c r="G25">
        <v>74918</v>
      </c>
      <c r="H25">
        <v>25879</v>
      </c>
      <c r="J25">
        <v>0</v>
      </c>
    </row>
    <row r="26" spans="1:10" hidden="1">
      <c r="A26" s="19">
        <v>32689</v>
      </c>
      <c r="C26">
        <v>1</v>
      </c>
      <c r="D26">
        <v>1</v>
      </c>
      <c r="G26">
        <v>75138</v>
      </c>
      <c r="H26">
        <v>26920</v>
      </c>
      <c r="J26">
        <v>0</v>
      </c>
    </row>
    <row r="27" spans="1:10" hidden="1">
      <c r="A27" s="19">
        <v>33054</v>
      </c>
      <c r="C27">
        <v>1</v>
      </c>
      <c r="D27">
        <v>1</v>
      </c>
      <c r="G27">
        <v>66428</v>
      </c>
      <c r="H27">
        <v>24051</v>
      </c>
      <c r="J27">
        <v>0</v>
      </c>
    </row>
    <row r="28" spans="1:10" hidden="1">
      <c r="A28" s="19">
        <v>33419</v>
      </c>
      <c r="C28">
        <v>0</v>
      </c>
      <c r="D28">
        <v>0</v>
      </c>
      <c r="G28">
        <v>69235</v>
      </c>
      <c r="H28">
        <v>38117</v>
      </c>
      <c r="J28">
        <v>0</v>
      </c>
    </row>
    <row r="29" spans="1:10" hidden="1">
      <c r="A29" s="19">
        <v>33785</v>
      </c>
      <c r="C29">
        <v>0</v>
      </c>
      <c r="D29">
        <v>0</v>
      </c>
      <c r="G29">
        <v>75122</v>
      </c>
      <c r="H29">
        <v>42464</v>
      </c>
      <c r="J29">
        <v>0</v>
      </c>
    </row>
    <row r="30" spans="1:10" hidden="1">
      <c r="A30" s="19">
        <v>34150</v>
      </c>
      <c r="C30">
        <v>1</v>
      </c>
      <c r="D30">
        <v>1</v>
      </c>
      <c r="G30">
        <v>76871</v>
      </c>
      <c r="H30">
        <v>43635</v>
      </c>
      <c r="J30">
        <v>19</v>
      </c>
    </row>
    <row r="31" spans="1:10" hidden="1">
      <c r="A31" s="19">
        <v>34515</v>
      </c>
      <c r="C31">
        <v>1</v>
      </c>
      <c r="D31">
        <v>1</v>
      </c>
      <c r="G31">
        <v>76688</v>
      </c>
      <c r="H31">
        <v>44136</v>
      </c>
      <c r="J31">
        <v>25</v>
      </c>
    </row>
    <row r="32" spans="1:10" hidden="1">
      <c r="A32" s="19">
        <v>34880</v>
      </c>
      <c r="C32">
        <v>1</v>
      </c>
      <c r="D32">
        <v>1</v>
      </c>
      <c r="G32">
        <v>76552</v>
      </c>
      <c r="H32">
        <v>46874</v>
      </c>
      <c r="J32">
        <v>50</v>
      </c>
    </row>
    <row r="33" spans="1:11" hidden="1">
      <c r="A33" s="19">
        <v>35246</v>
      </c>
      <c r="C33">
        <v>3</v>
      </c>
      <c r="D33">
        <v>3</v>
      </c>
      <c r="G33">
        <v>85533</v>
      </c>
      <c r="H33">
        <v>45842</v>
      </c>
      <c r="J33">
        <v>49</v>
      </c>
    </row>
    <row r="34" spans="1:11" hidden="1">
      <c r="A34" s="19">
        <v>35611</v>
      </c>
      <c r="B34">
        <v>212017</v>
      </c>
      <c r="C34">
        <v>3</v>
      </c>
      <c r="D34">
        <v>3</v>
      </c>
      <c r="E34">
        <v>3124</v>
      </c>
      <c r="F34">
        <v>208890</v>
      </c>
      <c r="G34">
        <v>77500</v>
      </c>
      <c r="H34">
        <v>49802</v>
      </c>
      <c r="I34">
        <v>65954</v>
      </c>
      <c r="J34">
        <v>111</v>
      </c>
      <c r="K34">
        <v>15524</v>
      </c>
    </row>
    <row r="35" spans="1:11" hidden="1">
      <c r="A35" s="19">
        <v>35976</v>
      </c>
      <c r="B35">
        <v>188552</v>
      </c>
      <c r="C35">
        <v>1</v>
      </c>
      <c r="D35">
        <v>1</v>
      </c>
      <c r="E35">
        <v>2968</v>
      </c>
      <c r="F35">
        <v>185583</v>
      </c>
      <c r="G35">
        <v>68057</v>
      </c>
      <c r="H35">
        <v>57370</v>
      </c>
      <c r="I35">
        <v>38531</v>
      </c>
      <c r="J35">
        <v>109</v>
      </c>
      <c r="K35">
        <v>21515</v>
      </c>
    </row>
    <row r="36" spans="1:11" hidden="1">
      <c r="A36" s="19">
        <v>36341</v>
      </c>
      <c r="B36">
        <v>196350</v>
      </c>
      <c r="D36">
        <v>1</v>
      </c>
      <c r="E36">
        <v>3207</v>
      </c>
      <c r="F36">
        <v>193142</v>
      </c>
      <c r="G36">
        <v>74848</v>
      </c>
      <c r="H36">
        <v>58103</v>
      </c>
      <c r="I36">
        <v>37213</v>
      </c>
      <c r="J36">
        <v>137</v>
      </c>
      <c r="K36">
        <v>22842</v>
      </c>
    </row>
    <row r="37" spans="1:11" hidden="1">
      <c r="A37" s="19">
        <v>36707</v>
      </c>
      <c r="B37">
        <v>212133</v>
      </c>
      <c r="D37">
        <v>0</v>
      </c>
      <c r="E37">
        <v>3239</v>
      </c>
      <c r="F37">
        <v>208894</v>
      </c>
      <c r="G37">
        <v>84082</v>
      </c>
      <c r="H37">
        <v>55669</v>
      </c>
      <c r="I37">
        <v>40067</v>
      </c>
      <c r="J37">
        <v>149</v>
      </c>
      <c r="K37">
        <v>28926</v>
      </c>
    </row>
    <row r="38" spans="1:11" hidden="1">
      <c r="A38" s="19">
        <v>37072</v>
      </c>
      <c r="B38">
        <v>178376</v>
      </c>
      <c r="D38">
        <v>0</v>
      </c>
      <c r="E38">
        <v>2765</v>
      </c>
      <c r="F38">
        <v>175611</v>
      </c>
      <c r="G38">
        <v>70691</v>
      </c>
      <c r="H38">
        <v>59802</v>
      </c>
      <c r="I38">
        <v>27412</v>
      </c>
      <c r="J38">
        <v>186</v>
      </c>
      <c r="K38">
        <v>17520</v>
      </c>
    </row>
    <row r="39" spans="1:11" hidden="1">
      <c r="A39" s="19">
        <v>37437</v>
      </c>
      <c r="B39">
        <v>196276</v>
      </c>
      <c r="D39">
        <v>0</v>
      </c>
      <c r="E39">
        <v>2511</v>
      </c>
      <c r="F39">
        <v>193766</v>
      </c>
      <c r="G39">
        <v>80122</v>
      </c>
      <c r="H39">
        <v>63999</v>
      </c>
      <c r="I39">
        <v>27183</v>
      </c>
      <c r="J39">
        <v>189</v>
      </c>
      <c r="K39">
        <v>22273</v>
      </c>
    </row>
    <row r="40" spans="1:11" hidden="1">
      <c r="A40" s="19">
        <v>37802</v>
      </c>
      <c r="B40">
        <v>197024</v>
      </c>
      <c r="D40">
        <v>0</v>
      </c>
      <c r="E40">
        <v>2743</v>
      </c>
      <c r="F40">
        <v>194280</v>
      </c>
      <c r="G40">
        <v>90669</v>
      </c>
      <c r="H40">
        <v>70557</v>
      </c>
      <c r="I40">
        <v>21829</v>
      </c>
      <c r="J40">
        <v>231</v>
      </c>
      <c r="K40">
        <v>10995</v>
      </c>
    </row>
    <row r="41" spans="1:11" hidden="1">
      <c r="A41" s="19">
        <v>38168</v>
      </c>
      <c r="B41">
        <v>194725</v>
      </c>
      <c r="D41">
        <v>0</v>
      </c>
      <c r="E41">
        <v>2483</v>
      </c>
      <c r="F41">
        <v>192242</v>
      </c>
      <c r="G41">
        <v>86382</v>
      </c>
      <c r="H41">
        <v>70195</v>
      </c>
      <c r="I41">
        <v>23360</v>
      </c>
      <c r="J41">
        <v>259</v>
      </c>
      <c r="K41">
        <v>12045</v>
      </c>
    </row>
    <row r="42" spans="1:11" hidden="1">
      <c r="A42" s="19">
        <v>38533</v>
      </c>
      <c r="B42">
        <v>202509</v>
      </c>
      <c r="D42">
        <v>0</v>
      </c>
      <c r="E42">
        <v>2173</v>
      </c>
      <c r="F42">
        <v>200336</v>
      </c>
      <c r="G42">
        <v>85768</v>
      </c>
      <c r="H42">
        <v>69718</v>
      </c>
      <c r="I42">
        <v>23772</v>
      </c>
      <c r="J42">
        <v>600</v>
      </c>
      <c r="K42">
        <v>20478</v>
      </c>
    </row>
    <row r="43" spans="1:11">
      <c r="A43" s="19">
        <v>38898</v>
      </c>
      <c r="B43">
        <v>182294</v>
      </c>
      <c r="D43">
        <v>0</v>
      </c>
      <c r="E43">
        <v>2346</v>
      </c>
      <c r="F43">
        <v>179949</v>
      </c>
      <c r="G43">
        <v>71345</v>
      </c>
      <c r="H43">
        <v>62868</v>
      </c>
      <c r="I43">
        <v>23015</v>
      </c>
      <c r="J43">
        <v>890</v>
      </c>
      <c r="K43">
        <v>21830</v>
      </c>
    </row>
    <row r="44" spans="1:11">
      <c r="A44" s="19">
        <v>39263</v>
      </c>
      <c r="B44">
        <v>201053</v>
      </c>
      <c r="D44">
        <v>0</v>
      </c>
      <c r="E44">
        <v>2339</v>
      </c>
      <c r="F44">
        <v>198715</v>
      </c>
      <c r="G44">
        <v>83457</v>
      </c>
      <c r="H44">
        <v>70852</v>
      </c>
      <c r="I44">
        <v>20413</v>
      </c>
      <c r="J44">
        <v>914</v>
      </c>
      <c r="K44">
        <v>23079</v>
      </c>
    </row>
    <row r="45" spans="1:11">
      <c r="A45" s="19">
        <v>39629</v>
      </c>
      <c r="B45">
        <v>196067</v>
      </c>
      <c r="D45">
        <v>0</v>
      </c>
      <c r="E45">
        <v>2454</v>
      </c>
      <c r="F45">
        <v>193613</v>
      </c>
      <c r="G45">
        <v>81180</v>
      </c>
      <c r="H45">
        <v>70411</v>
      </c>
      <c r="I45">
        <v>21153</v>
      </c>
      <c r="J45">
        <v>961</v>
      </c>
      <c r="K45">
        <v>19910</v>
      </c>
    </row>
    <row r="46" spans="1:11">
      <c r="A46" s="19">
        <v>39994</v>
      </c>
      <c r="B46">
        <v>196510</v>
      </c>
      <c r="D46">
        <v>0</v>
      </c>
      <c r="E46">
        <v>2521</v>
      </c>
      <c r="F46">
        <v>193988</v>
      </c>
      <c r="G46">
        <v>82699</v>
      </c>
      <c r="H46">
        <v>69119</v>
      </c>
      <c r="I46">
        <v>23926</v>
      </c>
      <c r="J46">
        <v>206</v>
      </c>
      <c r="K46">
        <v>18039</v>
      </c>
    </row>
    <row r="47" spans="1:11">
      <c r="A47" s="19">
        <v>40359</v>
      </c>
      <c r="B47">
        <v>212020</v>
      </c>
      <c r="D47">
        <v>0</v>
      </c>
      <c r="E47">
        <v>6332</v>
      </c>
      <c r="F47">
        <v>205688</v>
      </c>
      <c r="G47">
        <v>83830</v>
      </c>
      <c r="H47">
        <v>67555</v>
      </c>
      <c r="I47">
        <v>23371</v>
      </c>
      <c r="J47">
        <v>203</v>
      </c>
      <c r="K47">
        <v>30728</v>
      </c>
    </row>
    <row r="48" spans="1:11">
      <c r="A48" s="19">
        <v>40724</v>
      </c>
      <c r="B48">
        <v>193986</v>
      </c>
      <c r="D48">
        <v>0</v>
      </c>
      <c r="E48">
        <v>6065</v>
      </c>
      <c r="F48">
        <v>187921</v>
      </c>
      <c r="G48">
        <v>77838</v>
      </c>
      <c r="H48">
        <v>67505</v>
      </c>
      <c r="I48">
        <v>21220</v>
      </c>
      <c r="J48">
        <v>222</v>
      </c>
      <c r="K48">
        <v>21136</v>
      </c>
    </row>
    <row r="49" spans="1:11">
      <c r="A49" s="19">
        <v>41090</v>
      </c>
      <c r="B49">
        <v>208946</v>
      </c>
      <c r="D49">
        <v>0</v>
      </c>
      <c r="E49">
        <v>7397</v>
      </c>
      <c r="F49">
        <v>201550</v>
      </c>
      <c r="G49">
        <v>70346</v>
      </c>
      <c r="H49">
        <v>64146</v>
      </c>
      <c r="I49">
        <v>17626</v>
      </c>
      <c r="J49">
        <v>221</v>
      </c>
      <c r="K49">
        <v>49211</v>
      </c>
    </row>
    <row r="50" spans="1:11">
      <c r="A50" s="19">
        <v>41455</v>
      </c>
      <c r="B50">
        <v>197356</v>
      </c>
      <c r="D50">
        <v>0</v>
      </c>
      <c r="E50">
        <v>4125</v>
      </c>
      <c r="F50">
        <v>193232</v>
      </c>
      <c r="G50">
        <v>83341</v>
      </c>
      <c r="H50">
        <v>71145</v>
      </c>
      <c r="I50">
        <v>13989</v>
      </c>
      <c r="J50">
        <v>201</v>
      </c>
      <c r="K50">
        <v>24556</v>
      </c>
    </row>
    <row r="51" spans="1:11">
      <c r="A51" s="19">
        <v>41820</v>
      </c>
      <c r="B51">
        <v>207103</v>
      </c>
      <c r="D51">
        <v>0</v>
      </c>
      <c r="E51">
        <v>6345</v>
      </c>
      <c r="F51">
        <v>200758</v>
      </c>
      <c r="G51">
        <v>90542</v>
      </c>
      <c r="H51">
        <v>74843</v>
      </c>
      <c r="I51">
        <v>14734</v>
      </c>
      <c r="J51">
        <v>235</v>
      </c>
      <c r="K51">
        <v>20403</v>
      </c>
    </row>
    <row r="52" spans="1:11">
      <c r="A52" s="19">
        <v>42185</v>
      </c>
      <c r="B52">
        <v>215005</v>
      </c>
      <c r="E52">
        <v>7190</v>
      </c>
      <c r="F52">
        <v>207816</v>
      </c>
      <c r="G52">
        <v>82858</v>
      </c>
      <c r="H52">
        <v>70199</v>
      </c>
      <c r="I52">
        <v>14765</v>
      </c>
      <c r="J52">
        <v>224</v>
      </c>
      <c r="K52">
        <v>39770</v>
      </c>
    </row>
    <row r="53" spans="1:11">
      <c r="A53" s="19">
        <v>42551</v>
      </c>
      <c r="B53">
        <v>219024</v>
      </c>
      <c r="E53">
        <v>7438</v>
      </c>
      <c r="F53">
        <v>211245</v>
      </c>
      <c r="G53">
        <v>76047</v>
      </c>
      <c r="H53">
        <v>70500</v>
      </c>
      <c r="I53">
        <v>15400</v>
      </c>
      <c r="J53">
        <v>239</v>
      </c>
      <c r="K53">
        <v>49059</v>
      </c>
    </row>
    <row r="54" spans="1:11">
      <c r="A54" s="19">
        <v>42916</v>
      </c>
      <c r="B54">
        <v>222877</v>
      </c>
      <c r="G54">
        <v>75098</v>
      </c>
      <c r="I54">
        <v>15665</v>
      </c>
      <c r="J54">
        <v>265</v>
      </c>
      <c r="K54">
        <v>51303</v>
      </c>
    </row>
    <row r="57" spans="1:11">
      <c r="G57" s="3" t="s">
        <v>49</v>
      </c>
    </row>
    <row r="58" spans="1:11" ht="36.200000000000003" customHeight="1">
      <c r="G58" s="209" t="s">
        <v>50</v>
      </c>
      <c r="H58" s="209"/>
    </row>
    <row r="59" spans="1:11" ht="36.200000000000003" customHeight="1">
      <c r="B59" s="20" t="s">
        <v>51</v>
      </c>
      <c r="C59" s="20">
        <v>2.5000000000000001E-2</v>
      </c>
      <c r="G59" s="210" t="s">
        <v>52</v>
      </c>
      <c r="H59" s="210"/>
    </row>
    <row r="60" spans="1:11" ht="36.200000000000003" customHeight="1">
      <c r="B60" s="20" t="s">
        <v>53</v>
      </c>
      <c r="C60" s="20">
        <v>26.3</v>
      </c>
    </row>
    <row r="61" spans="1:11" ht="36.200000000000003" customHeight="1">
      <c r="B61" s="20" t="s">
        <v>54</v>
      </c>
      <c r="C61" s="20">
        <v>28</v>
      </c>
      <c r="G61" s="12" t="s">
        <v>81</v>
      </c>
    </row>
    <row r="62" spans="1:11" ht="36.200000000000003" customHeight="1">
      <c r="B62" s="20" t="s">
        <v>56</v>
      </c>
      <c r="C62" s="21">
        <v>48700</v>
      </c>
      <c r="D62" t="s">
        <v>57</v>
      </c>
      <c r="G62" s="210" t="s">
        <v>58</v>
      </c>
      <c r="H62" s="210"/>
    </row>
    <row r="63" spans="1:11" ht="36.200000000000003" customHeight="1">
      <c r="B63" s="20" t="s">
        <v>59</v>
      </c>
      <c r="C63" s="20">
        <v>0.98</v>
      </c>
      <c r="D63" s="3" t="s">
        <v>60</v>
      </c>
      <c r="G63" s="210" t="s">
        <v>61</v>
      </c>
      <c r="H63" s="210"/>
    </row>
  </sheetData>
  <sheetProtection algorithmName="SHA-512" hashValue="4LJQkNzheVXcc5104IKDN2cuAeexLOEHCYujuVYjIYWGQ2dLPEe4qr/NG+WwTuGZAuVbi01RdmFZsk3y7kxkKg==" saltValue="hkP5wEzEjNUIq4JAcWOpfQ==" spinCount="100000" sheet="1" objects="1" scenarios="1"/>
  <mergeCells count="4">
    <mergeCell ref="G58:H58"/>
    <mergeCell ref="G59:H59"/>
    <mergeCell ref="G62:H62"/>
    <mergeCell ref="G63:H63"/>
  </mergeCells>
  <pageMargins left="0.75000000000000011" right="0.75000000000000011" top="1.3937000000000002" bottom="1.3937000000000002" header="1" footer="1"/>
  <pageSetup paperSize="0" fitToWidth="0" fitToHeight="0" orientation="portrait" horizontalDpi="0" verticalDpi="0" copies="0"/>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G81"/>
  <sheetViews>
    <sheetView workbookViewId="0">
      <selection activeCell="B9" sqref="B9"/>
    </sheetView>
  </sheetViews>
  <sheetFormatPr defaultRowHeight="14.25"/>
  <cols>
    <col min="1" max="1" width="36" customWidth="1"/>
    <col min="2" max="2" width="16.25" customWidth="1"/>
    <col min="3" max="3" width="29.75" customWidth="1"/>
    <col min="4" max="4" width="26" customWidth="1"/>
    <col min="5" max="5" width="9" customWidth="1"/>
    <col min="6" max="6" width="8.375" customWidth="1"/>
    <col min="7" max="256" width="8" customWidth="1"/>
    <col min="257" max="257" width="36" customWidth="1"/>
    <col min="258" max="258" width="16.25" customWidth="1"/>
    <col min="259" max="259" width="29.75" customWidth="1"/>
    <col min="260" max="260" width="26" customWidth="1"/>
    <col min="261" max="261" width="9" customWidth="1"/>
    <col min="262" max="262" width="8.375" customWidth="1"/>
    <col min="263" max="512" width="8" customWidth="1"/>
    <col min="513" max="513" width="36" customWidth="1"/>
    <col min="514" max="514" width="16.25" customWidth="1"/>
    <col min="515" max="515" width="29.75" customWidth="1"/>
    <col min="516" max="516" width="26" customWidth="1"/>
    <col min="517" max="517" width="9" customWidth="1"/>
    <col min="518" max="518" width="8.375" customWidth="1"/>
    <col min="519" max="768" width="8" customWidth="1"/>
    <col min="769" max="769" width="36" customWidth="1"/>
    <col min="770" max="770" width="16.25" customWidth="1"/>
    <col min="771" max="771" width="29.75" customWidth="1"/>
    <col min="772" max="772" width="26" customWidth="1"/>
    <col min="773" max="773" width="9" customWidth="1"/>
    <col min="774" max="774" width="8.375" customWidth="1"/>
    <col min="775" max="1024" width="8" customWidth="1"/>
  </cols>
  <sheetData>
    <row r="1" spans="1:5" ht="18">
      <c r="A1" s="57" t="s">
        <v>168</v>
      </c>
      <c r="B1" s="58"/>
      <c r="C1" s="58"/>
      <c r="D1" s="58"/>
      <c r="E1" s="59"/>
    </row>
    <row r="2" spans="1:5" ht="18">
      <c r="A2" s="60">
        <v>40525</v>
      </c>
      <c r="B2" s="58"/>
      <c r="C2" s="58"/>
      <c r="D2" s="58"/>
      <c r="E2" s="61"/>
    </row>
    <row r="3" spans="1:5" ht="12.75" customHeight="1">
      <c r="A3" s="228" t="s">
        <v>169</v>
      </c>
      <c r="B3" s="228"/>
      <c r="C3" s="228"/>
      <c r="D3" s="228"/>
      <c r="E3" s="228"/>
    </row>
    <row r="4" spans="1:5">
      <c r="A4" s="228"/>
      <c r="B4" s="228"/>
      <c r="C4" s="228"/>
      <c r="D4" s="228"/>
      <c r="E4" s="228"/>
    </row>
    <row r="5" spans="1:5" ht="96.75" thickBot="1">
      <c r="A5" s="62" t="s">
        <v>170</v>
      </c>
      <c r="B5" s="62" t="s">
        <v>171</v>
      </c>
      <c r="C5" s="62" t="s">
        <v>172</v>
      </c>
      <c r="D5" s="63" t="s">
        <v>173</v>
      </c>
      <c r="E5" s="61"/>
    </row>
    <row r="6" spans="1:5" ht="15" customHeight="1">
      <c r="A6" s="229" t="s">
        <v>174</v>
      </c>
      <c r="B6" s="229"/>
      <c r="C6" s="229"/>
      <c r="D6" s="229"/>
      <c r="E6" s="64"/>
    </row>
    <row r="7" spans="1:5" ht="105" customHeight="1">
      <c r="A7" s="65" t="s">
        <v>175</v>
      </c>
      <c r="B7" s="66">
        <v>4</v>
      </c>
      <c r="C7" s="67" t="s">
        <v>176</v>
      </c>
      <c r="D7" s="68">
        <f>B7*'Guidance and Sources (84)'!D10*1000*'Guidance and Sources (84)'!C62</f>
        <v>14826.800000000001</v>
      </c>
      <c r="E7" s="64"/>
    </row>
    <row r="8" spans="1:5" ht="25.5">
      <c r="A8" s="69" t="s">
        <v>177</v>
      </c>
      <c r="B8" s="70"/>
      <c r="C8" s="70"/>
      <c r="D8" s="71"/>
      <c r="E8" s="64"/>
    </row>
    <row r="9" spans="1:5" ht="55.5" customHeight="1" thickBot="1">
      <c r="A9" s="215" t="s">
        <v>178</v>
      </c>
      <c r="B9" s="66">
        <v>4</v>
      </c>
      <c r="C9" s="67" t="s">
        <v>179</v>
      </c>
      <c r="D9" s="230">
        <f>B9*B10*(('Guidance and Sources (84)'!D25*'Guidance and Sources (84)'!C64)+'Guidance and Sources (84)'!H25)</f>
        <v>6292.8970739736742</v>
      </c>
      <c r="E9" s="64"/>
    </row>
    <row r="10" spans="1:5" ht="60.75" customHeight="1" thickBot="1">
      <c r="A10" s="215"/>
      <c r="B10" s="72">
        <v>0.9</v>
      </c>
      <c r="C10" s="73" t="s">
        <v>180</v>
      </c>
      <c r="D10" s="230"/>
      <c r="E10" s="64"/>
    </row>
    <row r="11" spans="1:5" ht="15" customHeight="1">
      <c r="A11" s="231" t="s">
        <v>181</v>
      </c>
      <c r="B11" s="231"/>
      <c r="C11" s="231"/>
      <c r="D11" s="231"/>
      <c r="E11" s="64"/>
    </row>
    <row r="12" spans="1:5" ht="105" customHeight="1">
      <c r="A12" s="74" t="s">
        <v>182</v>
      </c>
      <c r="B12" s="66">
        <v>0</v>
      </c>
      <c r="C12" s="75" t="s">
        <v>183</v>
      </c>
      <c r="D12" s="76">
        <f>B12*'Guidance and Sources (84)'!D9*1000*'Guidance and Sources (84)'!C62</f>
        <v>0</v>
      </c>
      <c r="E12" s="64"/>
    </row>
    <row r="13" spans="1:5" ht="105" customHeight="1">
      <c r="A13" s="65" t="s">
        <v>184</v>
      </c>
      <c r="B13" s="66"/>
      <c r="C13" s="67" t="s">
        <v>185</v>
      </c>
      <c r="D13" s="76">
        <f>B13*'Guidance and Sources (84)'!D11*1000*'Guidance and Sources (84)'!C62</f>
        <v>0</v>
      </c>
      <c r="E13" s="64"/>
    </row>
    <row r="14" spans="1:5" ht="105" customHeight="1">
      <c r="A14" s="219" t="s">
        <v>186</v>
      </c>
      <c r="B14" s="66"/>
      <c r="C14" s="75" t="s">
        <v>187</v>
      </c>
      <c r="D14" s="225">
        <f>(B14*'Guidance and Sources (84)'!D15*'Guidance and Sources (84)'!C62)+(B15*'Guidance and Sources (84)'!D16*'Guidance and Sources (84)'!C62)</f>
        <v>0</v>
      </c>
      <c r="E14" s="64"/>
    </row>
    <row r="15" spans="1:5" ht="60" customHeight="1">
      <c r="A15" s="219"/>
      <c r="B15" s="66"/>
      <c r="C15" s="75" t="s">
        <v>188</v>
      </c>
      <c r="D15" s="225"/>
      <c r="E15" s="64"/>
    </row>
    <row r="16" spans="1:5" ht="90" customHeight="1">
      <c r="A16" s="224" t="s">
        <v>189</v>
      </c>
      <c r="B16" s="66"/>
      <c r="C16" s="75" t="s">
        <v>190</v>
      </c>
      <c r="D16" s="225">
        <f>B16*B17*'Guidance and Sources (84)'!D17*'Guidance and Sources (84)'!C62*365</f>
        <v>0</v>
      </c>
      <c r="E16" s="64"/>
    </row>
    <row r="17" spans="1:5" ht="60.75" customHeight="1" thickBot="1">
      <c r="A17" s="224"/>
      <c r="B17" s="77"/>
      <c r="C17" s="73" t="s">
        <v>180</v>
      </c>
      <c r="D17" s="225"/>
      <c r="E17" s="64"/>
    </row>
    <row r="18" spans="1:5" ht="90" customHeight="1">
      <c r="A18" s="219" t="s">
        <v>191</v>
      </c>
      <c r="B18" s="66"/>
      <c r="C18" s="75" t="s">
        <v>190</v>
      </c>
      <c r="D18" s="225">
        <f>B18*B19*'Guidance and Sources (84)'!D22*1000*'Guidance and Sources (84)'!C62</f>
        <v>0</v>
      </c>
      <c r="E18" s="64"/>
    </row>
    <row r="19" spans="1:5" ht="60.75" customHeight="1" thickBot="1">
      <c r="A19" s="219"/>
      <c r="B19" s="77"/>
      <c r="C19" s="73" t="s">
        <v>180</v>
      </c>
      <c r="D19" s="225"/>
      <c r="E19" s="64"/>
    </row>
    <row r="20" spans="1:5" ht="90" customHeight="1">
      <c r="A20" s="78" t="s">
        <v>192</v>
      </c>
      <c r="B20" s="79"/>
      <c r="C20" s="80" t="s">
        <v>193</v>
      </c>
      <c r="D20" s="81">
        <f>B20*1000*'Guidance and Sources (84)'!D20</f>
        <v>0</v>
      </c>
      <c r="E20" s="64"/>
    </row>
    <row r="21" spans="1:5" ht="102" customHeight="1">
      <c r="A21" s="74" t="s">
        <v>194</v>
      </c>
      <c r="B21" s="226"/>
      <c r="C21" s="227" t="s">
        <v>195</v>
      </c>
      <c r="D21" s="68">
        <f>B21*('Guidance and Sources (84)'!D7+'Guidance and Sources (84)'!D8)*365*'Guidance and Sources (84)'!C62</f>
        <v>0</v>
      </c>
      <c r="E21" s="64"/>
    </row>
    <row r="22" spans="1:5" ht="76.5" customHeight="1">
      <c r="A22" s="74" t="s">
        <v>196</v>
      </c>
      <c r="B22" s="226"/>
      <c r="C22" s="227"/>
      <c r="D22" s="68">
        <f>B21*'Guidance and Sources (84)'!D23</f>
        <v>0</v>
      </c>
      <c r="E22" s="64"/>
    </row>
    <row r="23" spans="1:5" ht="75" customHeight="1">
      <c r="A23" s="219" t="s">
        <v>197</v>
      </c>
      <c r="B23" s="82"/>
      <c r="C23" s="75" t="s">
        <v>198</v>
      </c>
      <c r="D23" s="220">
        <f>B23*B24*25*1000*'Guidance and Sources (84)'!C62</f>
        <v>0</v>
      </c>
      <c r="E23" s="64"/>
    </row>
    <row r="24" spans="1:5" ht="63.75" customHeight="1">
      <c r="A24" s="219"/>
      <c r="B24" s="82"/>
      <c r="C24" s="65" t="s">
        <v>199</v>
      </c>
      <c r="D24" s="220"/>
      <c r="E24" s="64"/>
    </row>
    <row r="25" spans="1:5" ht="60.75" customHeight="1" thickBot="1">
      <c r="A25" s="219"/>
      <c r="B25" s="83"/>
      <c r="C25" s="73" t="s">
        <v>180</v>
      </c>
      <c r="D25" s="220"/>
      <c r="E25" s="64"/>
    </row>
    <row r="26" spans="1:5" ht="51" customHeight="1">
      <c r="A26" s="69" t="s">
        <v>200</v>
      </c>
      <c r="B26" s="70">
        <v>0</v>
      </c>
      <c r="C26" s="70"/>
      <c r="D26" s="71"/>
      <c r="E26" s="64"/>
    </row>
    <row r="27" spans="1:5" ht="89.25" customHeight="1">
      <c r="A27" s="84" t="s">
        <v>201</v>
      </c>
      <c r="B27" s="82">
        <v>228.144564</v>
      </c>
      <c r="C27" s="65" t="s">
        <v>202</v>
      </c>
      <c r="D27" s="85">
        <f>B27*('Guidance and Sources (84)'!D19+'Guidance and Sources (84)'!H19)</f>
        <v>16867.615098873961</v>
      </c>
      <c r="E27" s="64"/>
    </row>
    <row r="28" spans="1:5" ht="75" customHeight="1">
      <c r="A28" s="221" t="s">
        <v>203</v>
      </c>
      <c r="B28" s="66">
        <v>5</v>
      </c>
      <c r="C28" s="75" t="s">
        <v>204</v>
      </c>
      <c r="D28" s="222">
        <f>(B28*(('Guidance and Sources (84)'!D12*'Guidance and Sources (84)'!C62)+('Guidance and Sources (84)'!H12*'Guidance and Sources (84)'!C63)))+(B29*(('Guidance and Sources (84)'!D13*'Guidance and Sources (84)'!C62)+('Guidance and Sources (84)'!H13*'Guidance and Sources (84)'!C63)))</f>
        <v>10.930422699999999</v>
      </c>
      <c r="E28" s="64"/>
    </row>
    <row r="29" spans="1:5" ht="105" customHeight="1">
      <c r="A29" s="221"/>
      <c r="B29" s="66"/>
      <c r="C29" s="75" t="s">
        <v>205</v>
      </c>
      <c r="D29" s="222"/>
      <c r="E29" s="64"/>
    </row>
    <row r="30" spans="1:5" ht="55.5" customHeight="1">
      <c r="A30" s="221" t="s">
        <v>206</v>
      </c>
      <c r="B30" s="86">
        <v>5</v>
      </c>
      <c r="C30" s="67" t="s">
        <v>207</v>
      </c>
      <c r="D30" s="223">
        <f>B30*B31*(('Guidance and Sources (84)'!D26*'Guidance and Sources (84)'!C64)+'Guidance and Sources (84)'!H26)</f>
        <v>0</v>
      </c>
      <c r="E30" s="64"/>
    </row>
    <row r="31" spans="1:5" ht="60" customHeight="1">
      <c r="A31" s="221"/>
      <c r="B31" s="87"/>
      <c r="C31" s="88" t="s">
        <v>180</v>
      </c>
      <c r="D31" s="223"/>
      <c r="E31" s="64"/>
    </row>
    <row r="32" spans="1:5" ht="195" customHeight="1" thickBot="1">
      <c r="A32" s="215" t="s">
        <v>208</v>
      </c>
      <c r="B32" s="89">
        <v>10</v>
      </c>
      <c r="C32" s="90" t="s">
        <v>209</v>
      </c>
      <c r="D32" s="91">
        <f>B32*(('Guidance and Sources (84)'!D27*'Guidance and Sources (84)'!C62*1000000)+'Guidance and Sources (84)'!H27)</f>
        <v>9461.3520000000008</v>
      </c>
      <c r="E32" s="92"/>
    </row>
    <row r="33" spans="1:7" ht="29.25" thickBot="1">
      <c r="A33" s="215"/>
      <c r="B33" s="93">
        <v>5</v>
      </c>
      <c r="C33" s="94" t="s">
        <v>210</v>
      </c>
      <c r="D33" s="216">
        <f>B33*B34*(('Guidance and Sources (84)'!D28*'Guidance and Sources (84)'!C62)+'Guidance and Sources (84)'!H28)</f>
        <v>3847.7378057270498</v>
      </c>
      <c r="E33" s="64"/>
    </row>
    <row r="34" spans="1:7" ht="15" thickBot="1">
      <c r="A34" s="215"/>
      <c r="B34" s="95">
        <v>0.5</v>
      </c>
      <c r="C34" s="96" t="s">
        <v>180</v>
      </c>
      <c r="D34" s="216"/>
      <c r="E34" s="64"/>
    </row>
    <row r="35" spans="1:7">
      <c r="A35" s="97"/>
      <c r="B35" s="98"/>
      <c r="C35" s="99"/>
      <c r="D35" s="100"/>
      <c r="E35" s="64"/>
    </row>
    <row r="36" spans="1:7" ht="27">
      <c r="A36" s="101"/>
      <c r="B36" s="98"/>
      <c r="C36" s="102" t="s">
        <v>211</v>
      </c>
      <c r="D36" s="103">
        <f>SUM(D12:D34)+D7+D9</f>
        <v>51307.332401274689</v>
      </c>
      <c r="E36" s="64"/>
    </row>
    <row r="37" spans="1:7">
      <c r="A37" s="101"/>
      <c r="B37" s="104"/>
      <c r="C37" s="105"/>
      <c r="D37" s="106"/>
      <c r="E37" s="64"/>
    </row>
    <row r="38" spans="1:7">
      <c r="A38" s="107" t="s">
        <v>212</v>
      </c>
      <c r="B38" s="108"/>
      <c r="C38" s="108"/>
      <c r="D38" s="108"/>
      <c r="E38" s="64"/>
    </row>
    <row r="39" spans="1:7">
      <c r="A39" s="109"/>
      <c r="B39" s="110"/>
      <c r="C39" s="110"/>
      <c r="D39" s="110"/>
      <c r="E39" s="64"/>
    </row>
    <row r="40" spans="1:7">
      <c r="A40" s="111" t="s">
        <v>213</v>
      </c>
      <c r="B40" s="112"/>
      <c r="C40" s="58"/>
      <c r="D40" s="106"/>
      <c r="E40" s="61"/>
    </row>
    <row r="41" spans="1:7" ht="53.25" customHeight="1">
      <c r="A41" s="217" t="s">
        <v>214</v>
      </c>
      <c r="B41" s="217"/>
      <c r="C41" s="217"/>
      <c r="D41" s="217"/>
      <c r="E41" s="217"/>
    </row>
    <row r="42" spans="1:7" ht="26.25" customHeight="1">
      <c r="A42" s="217" t="s">
        <v>215</v>
      </c>
      <c r="B42" s="217"/>
      <c r="C42" s="217"/>
      <c r="D42" s="217"/>
      <c r="E42" s="217"/>
    </row>
    <row r="43" spans="1:7" ht="39.75" customHeight="1">
      <c r="A43" s="217" t="s">
        <v>216</v>
      </c>
      <c r="B43" s="217"/>
      <c r="C43" s="217"/>
      <c r="D43" s="217"/>
      <c r="E43" s="217"/>
    </row>
    <row r="44" spans="1:7" ht="39.75" customHeight="1">
      <c r="A44" s="218" t="s">
        <v>217</v>
      </c>
      <c r="B44" s="218"/>
      <c r="C44" s="218"/>
      <c r="D44" s="218"/>
      <c r="E44" s="218"/>
    </row>
    <row r="45" spans="1:7">
      <c r="A45" s="109"/>
      <c r="B45" s="110"/>
      <c r="C45" s="113"/>
      <c r="D45" s="114"/>
      <c r="E45" s="64"/>
    </row>
    <row r="46" spans="1:7" ht="12.75" customHeight="1">
      <c r="A46" s="214" t="s">
        <v>218</v>
      </c>
      <c r="B46" s="214"/>
      <c r="C46" s="214"/>
      <c r="D46" s="214"/>
      <c r="E46" s="214"/>
      <c r="G46" s="30"/>
    </row>
    <row r="47" spans="1:7">
      <c r="A47" s="214"/>
      <c r="B47" s="214"/>
      <c r="C47" s="214"/>
      <c r="D47" s="214"/>
      <c r="E47" s="214"/>
      <c r="G47" s="30"/>
    </row>
    <row r="48" spans="1:7">
      <c r="A48" s="214"/>
      <c r="B48" s="214"/>
      <c r="C48" s="214"/>
      <c r="D48" s="214"/>
      <c r="E48" s="214"/>
      <c r="G48" s="30"/>
    </row>
    <row r="49" spans="1:7">
      <c r="A49" s="214"/>
      <c r="B49" s="214"/>
      <c r="C49" s="214"/>
      <c r="D49" s="214"/>
      <c r="E49" s="214"/>
      <c r="G49" s="30"/>
    </row>
    <row r="50" spans="1:7">
      <c r="A50" s="214"/>
      <c r="B50" s="214"/>
      <c r="C50" s="214"/>
      <c r="D50" s="214"/>
      <c r="E50" s="214"/>
      <c r="G50" s="30"/>
    </row>
    <row r="51" spans="1:7">
      <c r="A51" s="214"/>
      <c r="B51" s="214"/>
      <c r="C51" s="214"/>
      <c r="D51" s="214"/>
      <c r="E51" s="214"/>
      <c r="G51" s="30"/>
    </row>
    <row r="52" spans="1:7">
      <c r="A52" s="214"/>
      <c r="B52" s="214"/>
      <c r="C52" s="214"/>
      <c r="D52" s="214"/>
      <c r="E52" s="214"/>
      <c r="G52" s="30"/>
    </row>
    <row r="53" spans="1:7">
      <c r="A53" s="214"/>
      <c r="B53" s="214"/>
      <c r="C53" s="214"/>
      <c r="D53" s="214"/>
      <c r="E53" s="214"/>
      <c r="G53" s="30"/>
    </row>
    <row r="54" spans="1:7">
      <c r="A54" s="214"/>
      <c r="B54" s="214"/>
      <c r="C54" s="214"/>
      <c r="D54" s="214"/>
      <c r="E54" s="214"/>
      <c r="F54" s="30"/>
      <c r="G54" s="30"/>
    </row>
    <row r="55" spans="1:7">
      <c r="A55" s="214"/>
      <c r="B55" s="214"/>
      <c r="C55" s="214"/>
      <c r="D55" s="214"/>
      <c r="E55" s="214"/>
      <c r="F55" s="30"/>
      <c r="G55" s="30"/>
    </row>
    <row r="56" spans="1:7">
      <c r="A56" s="214"/>
      <c r="B56" s="214"/>
      <c r="C56" s="214"/>
      <c r="D56" s="214"/>
      <c r="E56" s="214"/>
      <c r="F56" s="30"/>
      <c r="G56" s="30"/>
    </row>
    <row r="57" spans="1:7">
      <c r="D57" s="22"/>
      <c r="E57" s="22"/>
      <c r="F57" s="30"/>
      <c r="G57" s="30"/>
    </row>
    <row r="58" spans="1:7">
      <c r="D58" s="115"/>
      <c r="E58" s="115"/>
      <c r="F58" s="30"/>
      <c r="G58" s="30"/>
    </row>
    <row r="59" spans="1:7">
      <c r="B59" s="116"/>
      <c r="D59" s="22"/>
      <c r="E59" s="22"/>
      <c r="F59" s="30"/>
      <c r="G59" s="30"/>
    </row>
    <row r="60" spans="1:7">
      <c r="D60" s="22"/>
      <c r="E60" s="22"/>
      <c r="F60" s="30"/>
      <c r="G60" s="30"/>
    </row>
    <row r="61" spans="1:7">
      <c r="D61" s="22"/>
      <c r="E61" s="22"/>
      <c r="F61" s="30"/>
      <c r="G61" s="30"/>
    </row>
    <row r="62" spans="1:7">
      <c r="F62" s="30"/>
      <c r="G62" s="30"/>
    </row>
    <row r="66" spans="1:1">
      <c r="A66" s="116"/>
    </row>
    <row r="69" spans="1:1">
      <c r="A69" s="116"/>
    </row>
    <row r="70" spans="1:1">
      <c r="A70" s="116"/>
    </row>
    <row r="71" spans="1:1">
      <c r="A71" s="116"/>
    </row>
    <row r="72" spans="1:1">
      <c r="A72" s="116"/>
    </row>
    <row r="75" spans="1:1">
      <c r="A75" s="116"/>
    </row>
    <row r="76" spans="1:1">
      <c r="A76" s="116"/>
    </row>
    <row r="77" spans="1:1">
      <c r="A77" s="116"/>
    </row>
    <row r="78" spans="1:1">
      <c r="A78" s="116"/>
    </row>
    <row r="79" spans="1:1">
      <c r="A79" s="116"/>
    </row>
    <row r="80" spans="1:1">
      <c r="A80" s="116"/>
    </row>
    <row r="81" spans="1:1">
      <c r="A81" s="116"/>
    </row>
  </sheetData>
  <sheetProtection algorithmName="SHA-512" hashValue="KPN4TSlIv9Le4J7tbCC0INvqgs6nNXJ+xU0ossvE5vmZ8pU94D7nDlIww5BbpTQfGK3j2ljWQV8y93pLkmdgoQ==" saltValue="RUG9es3R8S6xAUKBeYsSZQ==" spinCount="100000" sheet="1" objects="1" scenarios="1"/>
  <mergeCells count="26">
    <mergeCell ref="A14:A15"/>
    <mergeCell ref="D14:D15"/>
    <mergeCell ref="A3:E4"/>
    <mergeCell ref="A6:D6"/>
    <mergeCell ref="A9:A10"/>
    <mergeCell ref="D9:D10"/>
    <mergeCell ref="A11:D11"/>
    <mergeCell ref="A16:A17"/>
    <mergeCell ref="D16:D17"/>
    <mergeCell ref="A18:A19"/>
    <mergeCell ref="D18:D19"/>
    <mergeCell ref="B21:B22"/>
    <mergeCell ref="C21:C22"/>
    <mergeCell ref="A23:A25"/>
    <mergeCell ref="D23:D25"/>
    <mergeCell ref="A28:A29"/>
    <mergeCell ref="D28:D29"/>
    <mergeCell ref="A30:A31"/>
    <mergeCell ref="D30:D31"/>
    <mergeCell ref="A46:E56"/>
    <mergeCell ref="A32:A34"/>
    <mergeCell ref="D33:D34"/>
    <mergeCell ref="A41:E41"/>
    <mergeCell ref="A42:E42"/>
    <mergeCell ref="A43:E43"/>
    <mergeCell ref="A44:E44"/>
  </mergeCells>
  <pageMargins left="0.70000000000000007" right="0.70000000000000007" top="1.1437000000000002" bottom="1.1437000000000002" header="0.75000000000000011" footer="0.75000000000000011"/>
  <pageSetup paperSize="0" fitToWidth="0" fitToHeight="0" orientation="portrait" horizontalDpi="0" verticalDpi="0" copies="0"/>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G81"/>
  <sheetViews>
    <sheetView topLeftCell="A31" workbookViewId="0">
      <selection activeCell="D36" sqref="D36"/>
    </sheetView>
  </sheetViews>
  <sheetFormatPr defaultRowHeight="14.25"/>
  <cols>
    <col min="1" max="1" width="36" customWidth="1"/>
    <col min="2" max="2" width="16.25" customWidth="1"/>
    <col min="3" max="3" width="29.75" customWidth="1"/>
    <col min="4" max="4" width="26" customWidth="1"/>
    <col min="5" max="5" width="9" customWidth="1"/>
    <col min="6" max="6" width="8.375" customWidth="1"/>
    <col min="7" max="256" width="8" customWidth="1"/>
    <col min="257" max="257" width="36" customWidth="1"/>
    <col min="258" max="258" width="16.25" customWidth="1"/>
    <col min="259" max="259" width="29.75" customWidth="1"/>
    <col min="260" max="260" width="26" customWidth="1"/>
    <col min="261" max="261" width="9" customWidth="1"/>
    <col min="262" max="262" width="8.375" customWidth="1"/>
    <col min="263" max="512" width="8" customWidth="1"/>
    <col min="513" max="513" width="36" customWidth="1"/>
    <col min="514" max="514" width="16.25" customWidth="1"/>
    <col min="515" max="515" width="29.75" customWidth="1"/>
    <col min="516" max="516" width="26" customWidth="1"/>
    <col min="517" max="517" width="9" customWidth="1"/>
    <col min="518" max="518" width="8.375" customWidth="1"/>
    <col min="519" max="768" width="8" customWidth="1"/>
    <col min="769" max="769" width="36" customWidth="1"/>
    <col min="770" max="770" width="16.25" customWidth="1"/>
    <col min="771" max="771" width="29.75" customWidth="1"/>
    <col min="772" max="772" width="26" customWidth="1"/>
    <col min="773" max="773" width="9" customWidth="1"/>
    <col min="774" max="774" width="8.375" customWidth="1"/>
    <col min="775" max="1024" width="8" customWidth="1"/>
  </cols>
  <sheetData>
    <row r="1" spans="1:5" ht="18">
      <c r="A1" s="57" t="s">
        <v>168</v>
      </c>
      <c r="B1" s="58"/>
      <c r="C1" s="58"/>
      <c r="D1" s="58"/>
      <c r="E1" s="59"/>
    </row>
    <row r="2" spans="1:5" ht="18">
      <c r="A2" s="60">
        <v>40525</v>
      </c>
      <c r="B2" s="58"/>
      <c r="C2" s="58"/>
      <c r="D2" s="58"/>
      <c r="E2" s="61"/>
    </row>
    <row r="3" spans="1:5" ht="12.75" customHeight="1">
      <c r="A3" s="228" t="s">
        <v>169</v>
      </c>
      <c r="B3" s="228"/>
      <c r="C3" s="228"/>
      <c r="D3" s="228"/>
      <c r="E3" s="228"/>
    </row>
    <row r="4" spans="1:5">
      <c r="A4" s="228"/>
      <c r="B4" s="228"/>
      <c r="C4" s="228"/>
      <c r="D4" s="228"/>
      <c r="E4" s="228"/>
    </row>
    <row r="5" spans="1:5" ht="96.75" thickBot="1">
      <c r="A5" s="62" t="s">
        <v>170</v>
      </c>
      <c r="B5" s="62" t="s">
        <v>171</v>
      </c>
      <c r="C5" s="62" t="s">
        <v>172</v>
      </c>
      <c r="D5" s="63" t="s">
        <v>173</v>
      </c>
      <c r="E5" s="61"/>
    </row>
    <row r="6" spans="1:5" ht="15" customHeight="1">
      <c r="A6" s="229" t="s">
        <v>174</v>
      </c>
      <c r="B6" s="229"/>
      <c r="C6" s="229"/>
      <c r="D6" s="229"/>
      <c r="E6" s="64"/>
    </row>
    <row r="7" spans="1:5" ht="105" customHeight="1">
      <c r="A7" s="65" t="s">
        <v>175</v>
      </c>
      <c r="B7" s="66">
        <v>20</v>
      </c>
      <c r="C7" s="67" t="s">
        <v>176</v>
      </c>
      <c r="D7" s="68">
        <f>B7*'Guidance and Sources (84)'!D10*1000*'Guidance and Sources (84)'!C62</f>
        <v>74134</v>
      </c>
      <c r="E7" s="64"/>
    </row>
    <row r="8" spans="1:5" ht="25.5">
      <c r="A8" s="69" t="s">
        <v>177</v>
      </c>
      <c r="B8" s="70"/>
      <c r="C8" s="70"/>
      <c r="D8" s="71"/>
      <c r="E8" s="64"/>
    </row>
    <row r="9" spans="1:5" ht="55.5" customHeight="1" thickBot="1">
      <c r="A9" s="215" t="s">
        <v>178</v>
      </c>
      <c r="B9" s="66">
        <v>20</v>
      </c>
      <c r="C9" s="67" t="s">
        <v>179</v>
      </c>
      <c r="D9" s="230">
        <f>B9*B10*(('Guidance and Sources (84)'!D25*'Guidance and Sources (84)'!C64)+'Guidance and Sources (84)'!H25)</f>
        <v>31464.485369868369</v>
      </c>
      <c r="E9" s="64"/>
    </row>
    <row r="10" spans="1:5" ht="60.75" customHeight="1" thickBot="1">
      <c r="A10" s="215"/>
      <c r="B10" s="72">
        <v>0.9</v>
      </c>
      <c r="C10" s="73" t="s">
        <v>180</v>
      </c>
      <c r="D10" s="230"/>
      <c r="E10" s="64"/>
    </row>
    <row r="11" spans="1:5" ht="15" customHeight="1">
      <c r="A11" s="231" t="s">
        <v>181</v>
      </c>
      <c r="B11" s="231"/>
      <c r="C11" s="231"/>
      <c r="D11" s="231"/>
      <c r="E11" s="64"/>
    </row>
    <row r="12" spans="1:5" ht="105" customHeight="1">
      <c r="A12" s="74" t="s">
        <v>182</v>
      </c>
      <c r="B12" s="66">
        <v>0</v>
      </c>
      <c r="C12" s="75" t="s">
        <v>183</v>
      </c>
      <c r="D12" s="76">
        <f>B12*'Guidance and Sources (84)'!D9*1000*'Guidance and Sources (84)'!C62</f>
        <v>0</v>
      </c>
      <c r="E12" s="64"/>
    </row>
    <row r="13" spans="1:5" ht="105" customHeight="1">
      <c r="A13" s="65" t="s">
        <v>184</v>
      </c>
      <c r="B13" s="66"/>
      <c r="C13" s="67" t="s">
        <v>185</v>
      </c>
      <c r="D13" s="76">
        <f>B13*'Guidance and Sources (84)'!D11*1000*'Guidance and Sources (84)'!C62</f>
        <v>0</v>
      </c>
      <c r="E13" s="64"/>
    </row>
    <row r="14" spans="1:5" ht="105" customHeight="1">
      <c r="A14" s="219" t="s">
        <v>186</v>
      </c>
      <c r="B14" s="66"/>
      <c r="C14" s="75" t="s">
        <v>187</v>
      </c>
      <c r="D14" s="225">
        <f>(B14*'Guidance and Sources (84)'!D15*'Guidance and Sources (84)'!C62)+(B15*'Guidance and Sources (84)'!D16*'Guidance and Sources (84)'!C62)</f>
        <v>0</v>
      </c>
      <c r="E14" s="64"/>
    </row>
    <row r="15" spans="1:5" ht="60" customHeight="1">
      <c r="A15" s="219"/>
      <c r="B15" s="66"/>
      <c r="C15" s="75" t="s">
        <v>188</v>
      </c>
      <c r="D15" s="225"/>
      <c r="E15" s="64"/>
    </row>
    <row r="16" spans="1:5" ht="90" customHeight="1">
      <c r="A16" s="224" t="s">
        <v>189</v>
      </c>
      <c r="B16" s="66"/>
      <c r="C16" s="75" t="s">
        <v>190</v>
      </c>
      <c r="D16" s="225">
        <f>B16*B17*'Guidance and Sources (84)'!D17*'Guidance and Sources (84)'!C62*365</f>
        <v>0</v>
      </c>
      <c r="E16" s="64"/>
    </row>
    <row r="17" spans="1:5" ht="60.75" customHeight="1" thickBot="1">
      <c r="A17" s="224"/>
      <c r="B17" s="77"/>
      <c r="C17" s="73" t="s">
        <v>180</v>
      </c>
      <c r="D17" s="225"/>
      <c r="E17" s="64"/>
    </row>
    <row r="18" spans="1:5" ht="90" customHeight="1">
      <c r="A18" s="219" t="s">
        <v>191</v>
      </c>
      <c r="B18" s="66"/>
      <c r="C18" s="75" t="s">
        <v>190</v>
      </c>
      <c r="D18" s="225">
        <f>B18*B19*'Guidance and Sources (84)'!D22*1000*'Guidance and Sources (84)'!C62</f>
        <v>0</v>
      </c>
      <c r="E18" s="64"/>
    </row>
    <row r="19" spans="1:5" ht="60.75" customHeight="1" thickBot="1">
      <c r="A19" s="219"/>
      <c r="B19" s="77"/>
      <c r="C19" s="73" t="s">
        <v>180</v>
      </c>
      <c r="D19" s="225"/>
      <c r="E19" s="64"/>
    </row>
    <row r="20" spans="1:5" ht="90" customHeight="1">
      <c r="A20" s="78" t="s">
        <v>192</v>
      </c>
      <c r="B20" s="79"/>
      <c r="C20" s="80" t="s">
        <v>193</v>
      </c>
      <c r="D20" s="81">
        <f>B20*1000*'Guidance and Sources (84)'!D20</f>
        <v>0</v>
      </c>
      <c r="E20" s="64"/>
    </row>
    <row r="21" spans="1:5" ht="102" customHeight="1">
      <c r="A21" s="74" t="s">
        <v>194</v>
      </c>
      <c r="B21" s="226"/>
      <c r="C21" s="227" t="s">
        <v>195</v>
      </c>
      <c r="D21" s="68">
        <f>B21*('Guidance and Sources (84)'!D7+'Guidance and Sources (84)'!D8)*365*'Guidance and Sources (84)'!C62</f>
        <v>0</v>
      </c>
      <c r="E21" s="64"/>
    </row>
    <row r="22" spans="1:5" ht="76.5" customHeight="1">
      <c r="A22" s="74" t="s">
        <v>196</v>
      </c>
      <c r="B22" s="226"/>
      <c r="C22" s="227"/>
      <c r="D22" s="68">
        <f>B21*'Guidance and Sources (84)'!D23</f>
        <v>0</v>
      </c>
      <c r="E22" s="64"/>
    </row>
    <row r="23" spans="1:5" ht="75" customHeight="1">
      <c r="A23" s="219" t="s">
        <v>197</v>
      </c>
      <c r="B23" s="82"/>
      <c r="C23" s="75" t="s">
        <v>198</v>
      </c>
      <c r="D23" s="220">
        <f>B23*B24*25*1000*'Guidance and Sources (84)'!C62</f>
        <v>0</v>
      </c>
      <c r="E23" s="64"/>
    </row>
    <row r="24" spans="1:5" ht="63.75" customHeight="1">
      <c r="A24" s="219"/>
      <c r="B24" s="82"/>
      <c r="C24" s="65" t="s">
        <v>199</v>
      </c>
      <c r="D24" s="220"/>
      <c r="E24" s="64"/>
    </row>
    <row r="25" spans="1:5" ht="60.75" customHeight="1" thickBot="1">
      <c r="A25" s="219"/>
      <c r="B25" s="83"/>
      <c r="C25" s="73" t="s">
        <v>180</v>
      </c>
      <c r="D25" s="220"/>
      <c r="E25" s="64"/>
    </row>
    <row r="26" spans="1:5" ht="51" customHeight="1">
      <c r="A26" s="69" t="s">
        <v>200</v>
      </c>
      <c r="B26" s="70">
        <v>0</v>
      </c>
      <c r="C26" s="70"/>
      <c r="D26" s="71"/>
      <c r="E26" s="64"/>
    </row>
    <row r="27" spans="1:5" ht="89.25" customHeight="1">
      <c r="A27" s="84" t="s">
        <v>201</v>
      </c>
      <c r="B27" s="82">
        <v>228.144564</v>
      </c>
      <c r="C27" s="65" t="s">
        <v>202</v>
      </c>
      <c r="D27" s="85">
        <f>B27*('Guidance and Sources (84)'!D19+'Guidance and Sources (84)'!H19)</f>
        <v>16867.615098873961</v>
      </c>
      <c r="E27" s="64"/>
    </row>
    <row r="28" spans="1:5" ht="75" customHeight="1">
      <c r="A28" s="221" t="s">
        <v>203</v>
      </c>
      <c r="B28" s="66">
        <v>5</v>
      </c>
      <c r="C28" s="75" t="s">
        <v>204</v>
      </c>
      <c r="D28" s="222">
        <f>(B28*(('Guidance and Sources (84)'!D12*'Guidance and Sources (84)'!C62)+('Guidance and Sources (84)'!H12*'Guidance and Sources (84)'!C63)))+(B29*(('Guidance and Sources (84)'!D13*'Guidance and Sources (84)'!C62)+('Guidance and Sources (84)'!H13*'Guidance and Sources (84)'!C63)))</f>
        <v>10.930422699999999</v>
      </c>
      <c r="E28" s="64"/>
    </row>
    <row r="29" spans="1:5" ht="105" customHeight="1">
      <c r="A29" s="221"/>
      <c r="B29" s="66"/>
      <c r="C29" s="75" t="s">
        <v>205</v>
      </c>
      <c r="D29" s="222"/>
      <c r="E29" s="64"/>
    </row>
    <row r="30" spans="1:5" ht="55.5" customHeight="1">
      <c r="A30" s="221" t="s">
        <v>206</v>
      </c>
      <c r="B30" s="86">
        <v>5</v>
      </c>
      <c r="C30" s="67" t="s">
        <v>207</v>
      </c>
      <c r="D30" s="223">
        <f>B30*B31*(('Guidance and Sources (84)'!D26*'Guidance and Sources (84)'!C64)+'Guidance and Sources (84)'!H26)</f>
        <v>0</v>
      </c>
      <c r="E30" s="64"/>
    </row>
    <row r="31" spans="1:5" ht="60" customHeight="1">
      <c r="A31" s="221"/>
      <c r="B31" s="87"/>
      <c r="C31" s="88" t="s">
        <v>180</v>
      </c>
      <c r="D31" s="223"/>
      <c r="E31" s="64"/>
    </row>
    <row r="32" spans="1:5" ht="195" customHeight="1" thickBot="1">
      <c r="A32" s="215" t="s">
        <v>208</v>
      </c>
      <c r="B32" s="89">
        <v>10</v>
      </c>
      <c r="C32" s="90" t="s">
        <v>209</v>
      </c>
      <c r="D32" s="91">
        <f>B32*(('Guidance and Sources (84)'!D27*'Guidance and Sources (84)'!C62*1000000)+'Guidance and Sources (84)'!H27)</f>
        <v>9461.3520000000008</v>
      </c>
      <c r="E32" s="92"/>
    </row>
    <row r="33" spans="1:7" ht="29.25" thickBot="1">
      <c r="A33" s="215"/>
      <c r="B33" s="93">
        <v>5</v>
      </c>
      <c r="C33" s="94" t="s">
        <v>210</v>
      </c>
      <c r="D33" s="216">
        <f>B33*B34*(('Guidance and Sources (84)'!D28*'Guidance and Sources (84)'!C62)+'Guidance and Sources (84)'!H28)</f>
        <v>3847.7378057270498</v>
      </c>
      <c r="E33" s="64"/>
    </row>
    <row r="34" spans="1:7" ht="15" thickBot="1">
      <c r="A34" s="215"/>
      <c r="B34" s="95">
        <v>0.5</v>
      </c>
      <c r="C34" s="96" t="s">
        <v>180</v>
      </c>
      <c r="D34" s="216"/>
      <c r="E34" s="64"/>
    </row>
    <row r="35" spans="1:7">
      <c r="A35" s="97"/>
      <c r="B35" s="98"/>
      <c r="C35" s="99"/>
      <c r="D35" s="100"/>
      <c r="E35" s="64"/>
    </row>
    <row r="36" spans="1:7" ht="27">
      <c r="A36" s="101"/>
      <c r="B36" s="98"/>
      <c r="C36" s="102" t="s">
        <v>211</v>
      </c>
      <c r="D36" s="103">
        <f>SUM(D12:D34)+D7+D9</f>
        <v>135786.12069716939</v>
      </c>
      <c r="E36" s="64"/>
    </row>
    <row r="37" spans="1:7">
      <c r="A37" s="101"/>
      <c r="B37" s="104"/>
      <c r="C37" s="105"/>
      <c r="D37" s="106"/>
      <c r="E37" s="64"/>
    </row>
    <row r="38" spans="1:7">
      <c r="A38" s="107" t="s">
        <v>212</v>
      </c>
      <c r="B38" s="108"/>
      <c r="C38" s="108"/>
      <c r="D38" s="108"/>
      <c r="E38" s="64"/>
    </row>
    <row r="39" spans="1:7">
      <c r="A39" s="109"/>
      <c r="B39" s="110"/>
      <c r="C39" s="110"/>
      <c r="D39" s="110"/>
      <c r="E39" s="64"/>
    </row>
    <row r="40" spans="1:7">
      <c r="A40" s="111" t="s">
        <v>213</v>
      </c>
      <c r="B40" s="112"/>
      <c r="C40" s="58"/>
      <c r="D40" s="106"/>
      <c r="E40" s="61"/>
    </row>
    <row r="41" spans="1:7" ht="53.25" customHeight="1">
      <c r="A41" s="217" t="s">
        <v>214</v>
      </c>
      <c r="B41" s="217"/>
      <c r="C41" s="217"/>
      <c r="D41" s="217"/>
      <c r="E41" s="217"/>
    </row>
    <row r="42" spans="1:7" ht="26.25" customHeight="1">
      <c r="A42" s="217" t="s">
        <v>215</v>
      </c>
      <c r="B42" s="217"/>
      <c r="C42" s="217"/>
      <c r="D42" s="217"/>
      <c r="E42" s="217"/>
    </row>
    <row r="43" spans="1:7" ht="39.75" customHeight="1">
      <c r="A43" s="217" t="s">
        <v>216</v>
      </c>
      <c r="B43" s="217"/>
      <c r="C43" s="217"/>
      <c r="D43" s="217"/>
      <c r="E43" s="217"/>
    </row>
    <row r="44" spans="1:7" ht="39.75" customHeight="1">
      <c r="A44" s="218" t="s">
        <v>217</v>
      </c>
      <c r="B44" s="218"/>
      <c r="C44" s="218"/>
      <c r="D44" s="218"/>
      <c r="E44" s="218"/>
    </row>
    <row r="45" spans="1:7">
      <c r="A45" s="109"/>
      <c r="B45" s="110"/>
      <c r="C45" s="113"/>
      <c r="D45" s="114"/>
      <c r="E45" s="64"/>
    </row>
    <row r="46" spans="1:7" ht="12.75" customHeight="1">
      <c r="A46" s="214" t="s">
        <v>218</v>
      </c>
      <c r="B46" s="214"/>
      <c r="C46" s="214"/>
      <c r="D46" s="214"/>
      <c r="E46" s="214"/>
      <c r="G46" s="30"/>
    </row>
    <row r="47" spans="1:7">
      <c r="A47" s="214"/>
      <c r="B47" s="214"/>
      <c r="C47" s="214"/>
      <c r="D47" s="214"/>
      <c r="E47" s="214"/>
      <c r="G47" s="30"/>
    </row>
    <row r="48" spans="1:7">
      <c r="A48" s="214"/>
      <c r="B48" s="214"/>
      <c r="C48" s="214"/>
      <c r="D48" s="214"/>
      <c r="E48" s="214"/>
      <c r="G48" s="30"/>
    </row>
    <row r="49" spans="1:7">
      <c r="A49" s="214"/>
      <c r="B49" s="214"/>
      <c r="C49" s="214"/>
      <c r="D49" s="214"/>
      <c r="E49" s="214"/>
      <c r="G49" s="30"/>
    </row>
    <row r="50" spans="1:7">
      <c r="A50" s="214"/>
      <c r="B50" s="214"/>
      <c r="C50" s="214"/>
      <c r="D50" s="214"/>
      <c r="E50" s="214"/>
      <c r="G50" s="30"/>
    </row>
    <row r="51" spans="1:7">
      <c r="A51" s="214"/>
      <c r="B51" s="214"/>
      <c r="C51" s="214"/>
      <c r="D51" s="214"/>
      <c r="E51" s="214"/>
      <c r="G51" s="30"/>
    </row>
    <row r="52" spans="1:7">
      <c r="A52" s="214"/>
      <c r="B52" s="214"/>
      <c r="C52" s="214"/>
      <c r="D52" s="214"/>
      <c r="E52" s="214"/>
      <c r="G52" s="30"/>
    </row>
    <row r="53" spans="1:7">
      <c r="A53" s="214"/>
      <c r="B53" s="214"/>
      <c r="C53" s="214"/>
      <c r="D53" s="214"/>
      <c r="E53" s="214"/>
      <c r="G53" s="30"/>
    </row>
    <row r="54" spans="1:7">
      <c r="A54" s="214"/>
      <c r="B54" s="214"/>
      <c r="C54" s="214"/>
      <c r="D54" s="214"/>
      <c r="E54" s="214"/>
      <c r="F54" s="30"/>
      <c r="G54" s="30"/>
    </row>
    <row r="55" spans="1:7">
      <c r="A55" s="214"/>
      <c r="B55" s="214"/>
      <c r="C55" s="214"/>
      <c r="D55" s="214"/>
      <c r="E55" s="214"/>
      <c r="F55" s="30"/>
      <c r="G55" s="30"/>
    </row>
    <row r="56" spans="1:7">
      <c r="A56" s="214"/>
      <c r="B56" s="214"/>
      <c r="C56" s="214"/>
      <c r="D56" s="214"/>
      <c r="E56" s="214"/>
      <c r="F56" s="30"/>
      <c r="G56" s="30"/>
    </row>
    <row r="57" spans="1:7">
      <c r="D57" s="22"/>
      <c r="E57" s="22"/>
      <c r="F57" s="30"/>
      <c r="G57" s="30"/>
    </row>
    <row r="58" spans="1:7">
      <c r="D58" s="115"/>
      <c r="E58" s="115"/>
      <c r="F58" s="30"/>
      <c r="G58" s="30"/>
    </row>
    <row r="59" spans="1:7">
      <c r="B59" s="116"/>
      <c r="D59" s="22"/>
      <c r="E59" s="22"/>
      <c r="F59" s="30"/>
      <c r="G59" s="30"/>
    </row>
    <row r="60" spans="1:7">
      <c r="D60" s="22"/>
      <c r="E60" s="22"/>
      <c r="F60" s="30"/>
      <c r="G60" s="30"/>
    </row>
    <row r="61" spans="1:7">
      <c r="D61" s="22"/>
      <c r="E61" s="22"/>
      <c r="F61" s="30"/>
      <c r="G61" s="30"/>
    </row>
    <row r="62" spans="1:7">
      <c r="F62" s="30"/>
      <c r="G62" s="30"/>
    </row>
    <row r="66" spans="1:1">
      <c r="A66" s="116"/>
    </row>
    <row r="69" spans="1:1">
      <c r="A69" s="116"/>
    </row>
    <row r="70" spans="1:1">
      <c r="A70" s="116"/>
    </row>
    <row r="71" spans="1:1">
      <c r="A71" s="116"/>
    </row>
    <row r="72" spans="1:1">
      <c r="A72" s="116"/>
    </row>
    <row r="75" spans="1:1">
      <c r="A75" s="116"/>
    </row>
    <row r="76" spans="1:1">
      <c r="A76" s="116"/>
    </row>
    <row r="77" spans="1:1">
      <c r="A77" s="116"/>
    </row>
    <row r="78" spans="1:1">
      <c r="A78" s="116"/>
    </row>
    <row r="79" spans="1:1">
      <c r="A79" s="116"/>
    </row>
    <row r="80" spans="1:1">
      <c r="A80" s="116"/>
    </row>
    <row r="81" spans="1:1">
      <c r="A81" s="116"/>
    </row>
  </sheetData>
  <sheetProtection algorithmName="SHA-512" hashValue="LqDI3NSroGsfHhpRub750JL1xcvsczBjsjI4rL+NV1VqRW2DzRAqvdLheEK7bI3Azurn9iCKUEJrgNriX2fiFQ==" saltValue="3hj2ctan6QS+WOLuPqihCQ==" spinCount="100000" sheet="1" objects="1" scenarios="1"/>
  <mergeCells count="26">
    <mergeCell ref="A14:A15"/>
    <mergeCell ref="D14:D15"/>
    <mergeCell ref="A3:E4"/>
    <mergeCell ref="A6:D6"/>
    <mergeCell ref="A9:A10"/>
    <mergeCell ref="D9:D10"/>
    <mergeCell ref="A11:D11"/>
    <mergeCell ref="A16:A17"/>
    <mergeCell ref="D16:D17"/>
    <mergeCell ref="A18:A19"/>
    <mergeCell ref="D18:D19"/>
    <mergeCell ref="B21:B22"/>
    <mergeCell ref="C21:C22"/>
    <mergeCell ref="A23:A25"/>
    <mergeCell ref="D23:D25"/>
    <mergeCell ref="A28:A29"/>
    <mergeCell ref="D28:D29"/>
    <mergeCell ref="A30:A31"/>
    <mergeCell ref="D30:D31"/>
    <mergeCell ref="A46:E56"/>
    <mergeCell ref="A32:A34"/>
    <mergeCell ref="D33:D34"/>
    <mergeCell ref="A41:E41"/>
    <mergeCell ref="A42:E42"/>
    <mergeCell ref="A43:E43"/>
    <mergeCell ref="A44:E44"/>
  </mergeCells>
  <pageMargins left="0.70000000000000007" right="0.70000000000000007" top="1.1437000000000002" bottom="1.1437000000000002" header="0.75000000000000011" footer="0.75000000000000011"/>
  <pageSetup paperSize="0" fitToWidth="0" fitToHeight="0" orientation="portrait" horizontalDpi="0" verticalDpi="0" copies="0"/>
  <headerFooter alignWithMargins="0"/>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AMJ78"/>
  <sheetViews>
    <sheetView topLeftCell="A40" workbookViewId="0">
      <selection activeCell="C64" sqref="C64"/>
    </sheetView>
  </sheetViews>
  <sheetFormatPr defaultRowHeight="12.75" customHeight="1"/>
  <cols>
    <col min="1" max="1" width="44.875" style="120" customWidth="1"/>
    <col min="2" max="2" width="40.625" style="120" customWidth="1"/>
    <col min="3" max="3" width="34" style="120" customWidth="1"/>
    <col min="4" max="4" width="22.75" style="120" customWidth="1"/>
    <col min="5" max="5" width="20.75" style="120" customWidth="1"/>
    <col min="6" max="6" width="58.375" style="120" customWidth="1"/>
    <col min="7" max="7" width="50.75" style="208" customWidth="1"/>
    <col min="8" max="8" width="20.625" style="120" customWidth="1"/>
    <col min="9" max="9" width="16.25" style="120" customWidth="1"/>
    <col min="10" max="10" width="42.5" style="120" customWidth="1"/>
    <col min="11" max="11" width="50.75" style="120" customWidth="1"/>
    <col min="12" max="256" width="8.5" style="120" customWidth="1"/>
    <col min="257" max="257" width="44.875" style="120" customWidth="1"/>
    <col min="258" max="258" width="40.625" style="120" customWidth="1"/>
    <col min="259" max="259" width="34" style="120" customWidth="1"/>
    <col min="260" max="260" width="22.75" style="120" customWidth="1"/>
    <col min="261" max="261" width="20.75" style="120" customWidth="1"/>
    <col min="262" max="262" width="58.375" style="120" customWidth="1"/>
    <col min="263" max="263" width="50.75" style="120" customWidth="1"/>
    <col min="264" max="264" width="20.625" style="120" customWidth="1"/>
    <col min="265" max="265" width="16.25" style="120" customWidth="1"/>
    <col min="266" max="266" width="42.5" style="120" customWidth="1"/>
    <col min="267" max="267" width="50.75" style="120" customWidth="1"/>
    <col min="268" max="512" width="8.5" style="120" customWidth="1"/>
    <col min="513" max="513" width="44.875" style="120" customWidth="1"/>
    <col min="514" max="514" width="40.625" style="120" customWidth="1"/>
    <col min="515" max="515" width="34" style="120" customWidth="1"/>
    <col min="516" max="516" width="22.75" style="120" customWidth="1"/>
    <col min="517" max="517" width="20.75" style="120" customWidth="1"/>
    <col min="518" max="518" width="58.375" style="120" customWidth="1"/>
    <col min="519" max="519" width="50.75" style="120" customWidth="1"/>
    <col min="520" max="520" width="20.625" style="120" customWidth="1"/>
    <col min="521" max="521" width="16.25" style="120" customWidth="1"/>
    <col min="522" max="522" width="42.5" style="120" customWidth="1"/>
    <col min="523" max="523" width="50.75" style="120" customWidth="1"/>
    <col min="524" max="768" width="8.5" style="120" customWidth="1"/>
    <col min="769" max="769" width="44.875" style="120" customWidth="1"/>
    <col min="770" max="770" width="40.625" style="120" customWidth="1"/>
    <col min="771" max="771" width="34" style="120" customWidth="1"/>
    <col min="772" max="772" width="22.75" style="120" customWidth="1"/>
    <col min="773" max="773" width="20.75" style="120" customWidth="1"/>
    <col min="774" max="774" width="58.375" style="120" customWidth="1"/>
    <col min="775" max="775" width="50.75" style="120" customWidth="1"/>
    <col min="776" max="776" width="20.625" style="120" customWidth="1"/>
    <col min="777" max="777" width="16.25" style="120" customWidth="1"/>
    <col min="778" max="778" width="42.5" style="120" customWidth="1"/>
    <col min="779" max="779" width="50.75" style="120" customWidth="1"/>
    <col min="780" max="1024" width="8.5" style="120" customWidth="1"/>
  </cols>
  <sheetData>
    <row r="1" spans="1:28" ht="18">
      <c r="A1" s="117" t="s">
        <v>219</v>
      </c>
      <c r="B1" s="118"/>
      <c r="C1" s="118"/>
      <c r="D1" s="118"/>
      <c r="E1" s="118"/>
      <c r="F1" s="118"/>
      <c r="G1" s="119"/>
      <c r="H1" s="118"/>
      <c r="I1" s="118"/>
      <c r="J1" s="118"/>
      <c r="K1" s="118"/>
      <c r="L1" s="118"/>
    </row>
    <row r="2" spans="1:28" ht="18">
      <c r="A2" s="121">
        <v>40525</v>
      </c>
      <c r="B2" s="118"/>
      <c r="C2" s="118"/>
      <c r="D2" s="118"/>
      <c r="E2" s="118"/>
      <c r="F2" s="118"/>
      <c r="G2" s="119"/>
      <c r="H2" s="118"/>
      <c r="I2" s="118"/>
      <c r="J2" s="118"/>
      <c r="K2" s="118"/>
      <c r="L2" s="118"/>
    </row>
    <row r="3" spans="1:28" ht="18" customHeight="1">
      <c r="A3" s="232" t="s">
        <v>220</v>
      </c>
      <c r="B3" s="232"/>
      <c r="C3" s="232"/>
      <c r="D3" s="122"/>
      <c r="E3" s="118"/>
      <c r="F3" s="118"/>
      <c r="G3" s="123"/>
      <c r="H3" s="118"/>
      <c r="I3" s="118"/>
      <c r="J3" s="118"/>
      <c r="K3" s="118"/>
      <c r="L3" s="118"/>
    </row>
    <row r="4" spans="1:28" ht="18">
      <c r="A4" s="118"/>
      <c r="B4" s="118"/>
      <c r="C4" s="124"/>
      <c r="D4" s="124"/>
      <c r="E4" s="118"/>
      <c r="F4" s="118"/>
      <c r="G4" s="125"/>
      <c r="H4" s="118"/>
      <c r="I4" s="118"/>
      <c r="J4" s="118"/>
      <c r="K4" s="118"/>
      <c r="L4" s="118"/>
    </row>
    <row r="5" spans="1:28" ht="14.25">
      <c r="A5" s="118"/>
      <c r="B5" s="118"/>
      <c r="C5" s="118"/>
      <c r="D5" s="118"/>
      <c r="E5" s="126"/>
      <c r="F5" s="118"/>
      <c r="G5" s="119"/>
      <c r="H5" s="118"/>
      <c r="I5" s="118"/>
      <c r="J5" s="118"/>
      <c r="K5" s="118"/>
      <c r="L5" s="118"/>
    </row>
    <row r="6" spans="1:28" ht="63" customHeight="1">
      <c r="A6" s="127" t="s">
        <v>221</v>
      </c>
      <c r="B6" s="127" t="s">
        <v>222</v>
      </c>
      <c r="C6" s="127" t="s">
        <v>223</v>
      </c>
      <c r="D6" s="127" t="s">
        <v>224</v>
      </c>
      <c r="E6" s="127" t="s">
        <v>225</v>
      </c>
      <c r="F6" s="127" t="s">
        <v>226</v>
      </c>
      <c r="G6" s="127" t="s">
        <v>227</v>
      </c>
      <c r="H6" s="127" t="s">
        <v>228</v>
      </c>
      <c r="I6" s="127" t="s">
        <v>229</v>
      </c>
      <c r="J6" s="127" t="s">
        <v>230</v>
      </c>
      <c r="K6" s="128" t="s">
        <v>231</v>
      </c>
      <c r="L6" s="118"/>
      <c r="Q6" s="129"/>
      <c r="R6" s="129"/>
      <c r="S6" s="129"/>
      <c r="T6" s="129"/>
      <c r="U6" s="129"/>
      <c r="V6" s="129"/>
      <c r="W6" s="129"/>
      <c r="X6" s="129"/>
      <c r="Y6" s="129"/>
      <c r="Z6" s="129"/>
      <c r="AA6" s="129"/>
      <c r="AB6" s="129"/>
    </row>
    <row r="7" spans="1:28" ht="42.75">
      <c r="A7" s="130" t="s">
        <v>232</v>
      </c>
      <c r="B7" s="131" t="s">
        <v>233</v>
      </c>
      <c r="C7" s="132" t="s">
        <v>234</v>
      </c>
      <c r="D7" s="133">
        <f>345*(433257+395631)/(525000+455015)</f>
        <v>291.79794186823671</v>
      </c>
      <c r="E7" s="134" t="s">
        <v>235</v>
      </c>
      <c r="F7" s="135" t="s">
        <v>236</v>
      </c>
      <c r="G7" s="135" t="s">
        <v>237</v>
      </c>
      <c r="H7" s="136" t="s">
        <v>238</v>
      </c>
      <c r="I7" s="136" t="s">
        <v>238</v>
      </c>
      <c r="J7" s="136" t="s">
        <v>238</v>
      </c>
      <c r="K7" s="136" t="s">
        <v>238</v>
      </c>
      <c r="L7" s="118"/>
    </row>
    <row r="8" spans="1:28" ht="38.25">
      <c r="A8" s="130" t="s">
        <v>239</v>
      </c>
      <c r="B8" s="131" t="s">
        <v>233</v>
      </c>
      <c r="C8" s="132" t="s">
        <v>234</v>
      </c>
      <c r="D8" s="133">
        <f>248*(1579)/(525000+455015)</f>
        <v>0.39957755748636503</v>
      </c>
      <c r="E8" s="134" t="s">
        <v>240</v>
      </c>
      <c r="F8" s="135" t="s">
        <v>241</v>
      </c>
      <c r="G8" s="135" t="s">
        <v>242</v>
      </c>
      <c r="H8" s="136" t="s">
        <v>238</v>
      </c>
      <c r="I8" s="136" t="s">
        <v>238</v>
      </c>
      <c r="J8" s="136" t="s">
        <v>238</v>
      </c>
      <c r="K8" s="136" t="s">
        <v>238</v>
      </c>
      <c r="L8" s="118"/>
    </row>
    <row r="9" spans="1:28" ht="71.25">
      <c r="A9" s="130" t="s">
        <v>243</v>
      </c>
      <c r="B9" s="131" t="s">
        <v>183</v>
      </c>
      <c r="C9" s="132" t="s">
        <v>244</v>
      </c>
      <c r="D9" s="134">
        <v>573</v>
      </c>
      <c r="E9" s="134" t="s">
        <v>245</v>
      </c>
      <c r="F9" s="135" t="s">
        <v>246</v>
      </c>
      <c r="G9" s="135" t="s">
        <v>247</v>
      </c>
      <c r="H9" s="136" t="s">
        <v>238</v>
      </c>
      <c r="I9" s="136" t="s">
        <v>238</v>
      </c>
      <c r="J9" s="136" t="s">
        <v>238</v>
      </c>
      <c r="K9" s="136" t="s">
        <v>238</v>
      </c>
      <c r="L9" s="118"/>
    </row>
    <row r="10" spans="1:28" ht="53.25" customHeight="1">
      <c r="A10" s="137" t="s">
        <v>248</v>
      </c>
      <c r="B10" s="134" t="s">
        <v>249</v>
      </c>
      <c r="C10" s="132" t="s">
        <v>250</v>
      </c>
      <c r="D10" s="138">
        <v>9175</v>
      </c>
      <c r="E10" s="134" t="s">
        <v>251</v>
      </c>
      <c r="F10" s="135" t="s">
        <v>246</v>
      </c>
      <c r="G10" s="135" t="s">
        <v>252</v>
      </c>
      <c r="H10" s="136" t="s">
        <v>238</v>
      </c>
      <c r="I10" s="136" t="s">
        <v>238</v>
      </c>
      <c r="J10" s="136" t="s">
        <v>238</v>
      </c>
      <c r="K10" s="136" t="s">
        <v>238</v>
      </c>
      <c r="L10" s="118"/>
    </row>
    <row r="11" spans="1:28" ht="50.25" customHeight="1">
      <c r="A11" s="137" t="s">
        <v>253</v>
      </c>
      <c r="B11" s="134" t="s">
        <v>185</v>
      </c>
      <c r="C11" s="132" t="s">
        <v>254</v>
      </c>
      <c r="D11" s="138">
        <v>9175</v>
      </c>
      <c r="E11" s="134" t="s">
        <v>255</v>
      </c>
      <c r="F11" s="135" t="s">
        <v>246</v>
      </c>
      <c r="G11" s="135" t="s">
        <v>252</v>
      </c>
      <c r="H11" s="136" t="s">
        <v>238</v>
      </c>
      <c r="I11" s="136" t="s">
        <v>238</v>
      </c>
      <c r="J11" s="136" t="s">
        <v>238</v>
      </c>
      <c r="K11" s="136" t="s">
        <v>238</v>
      </c>
      <c r="L11" s="118"/>
    </row>
    <row r="12" spans="1:28" ht="51" customHeight="1">
      <c r="A12" s="237" t="s">
        <v>256</v>
      </c>
      <c r="B12" s="134" t="s">
        <v>257</v>
      </c>
      <c r="C12" s="134" t="s">
        <v>258</v>
      </c>
      <c r="D12" s="134">
        <v>733</v>
      </c>
      <c r="E12" s="139" t="s">
        <v>259</v>
      </c>
      <c r="F12" s="134" t="s">
        <v>260</v>
      </c>
      <c r="G12" s="134" t="s">
        <v>261</v>
      </c>
      <c r="H12" s="140">
        <f>D12*(0.98/0.02)</f>
        <v>35917</v>
      </c>
      <c r="I12" s="139" t="s">
        <v>262</v>
      </c>
      <c r="J12" s="134" t="s">
        <v>263</v>
      </c>
      <c r="K12" s="134" t="s">
        <v>264</v>
      </c>
      <c r="L12" s="118"/>
    </row>
    <row r="13" spans="1:28" ht="42.75">
      <c r="A13" s="237"/>
      <c r="B13" s="134" t="s">
        <v>265</v>
      </c>
      <c r="C13" s="134" t="s">
        <v>266</v>
      </c>
      <c r="D13" s="134">
        <v>20</v>
      </c>
      <c r="E13" s="132" t="s">
        <v>267</v>
      </c>
      <c r="F13" s="141" t="s">
        <v>268</v>
      </c>
      <c r="G13" s="134" t="s">
        <v>269</v>
      </c>
      <c r="H13" s="140">
        <f>D13*(0.98/0.02)</f>
        <v>980</v>
      </c>
      <c r="I13" s="132" t="s">
        <v>270</v>
      </c>
      <c r="J13" s="141" t="s">
        <v>271</v>
      </c>
      <c r="K13" s="134" t="s">
        <v>272</v>
      </c>
      <c r="L13" s="118"/>
    </row>
    <row r="14" spans="1:28" ht="51">
      <c r="A14" s="130" t="s">
        <v>273</v>
      </c>
      <c r="B14" s="142"/>
      <c r="C14" s="142"/>
      <c r="D14" s="142"/>
      <c r="E14" s="143"/>
      <c r="F14" s="142"/>
      <c r="G14" s="142"/>
      <c r="H14" s="143"/>
      <c r="I14" s="142"/>
      <c r="J14" s="142"/>
      <c r="K14" s="144"/>
      <c r="L14" s="118"/>
    </row>
    <row r="15" spans="1:28" ht="89.25">
      <c r="A15" s="145" t="s">
        <v>274</v>
      </c>
      <c r="B15" s="131" t="s">
        <v>187</v>
      </c>
      <c r="C15" s="131" t="s">
        <v>275</v>
      </c>
      <c r="D15" s="133">
        <v>5.28</v>
      </c>
      <c r="E15" s="132" t="s">
        <v>276</v>
      </c>
      <c r="F15" s="146" t="s">
        <v>277</v>
      </c>
      <c r="G15" s="134" t="s">
        <v>278</v>
      </c>
      <c r="H15" s="136" t="s">
        <v>238</v>
      </c>
      <c r="I15" s="136" t="s">
        <v>238</v>
      </c>
      <c r="J15" s="136" t="s">
        <v>238</v>
      </c>
      <c r="K15" s="136" t="s">
        <v>238</v>
      </c>
      <c r="L15" s="118"/>
    </row>
    <row r="16" spans="1:28" ht="28.5">
      <c r="A16" s="147" t="s">
        <v>279</v>
      </c>
      <c r="B16" s="131" t="s">
        <v>188</v>
      </c>
      <c r="C16" s="131" t="s">
        <v>280</v>
      </c>
      <c r="D16" s="134">
        <v>21.87</v>
      </c>
      <c r="E16" s="134" t="s">
        <v>281</v>
      </c>
      <c r="F16" s="148" t="s">
        <v>282</v>
      </c>
      <c r="G16" s="134" t="s">
        <v>283</v>
      </c>
      <c r="H16" s="136" t="s">
        <v>238</v>
      </c>
      <c r="I16" s="136" t="s">
        <v>238</v>
      </c>
      <c r="J16" s="136" t="s">
        <v>238</v>
      </c>
      <c r="K16" s="136" t="s">
        <v>238</v>
      </c>
      <c r="L16" s="118"/>
    </row>
    <row r="17" spans="1:12" ht="53.25" customHeight="1">
      <c r="A17" s="149" t="s">
        <v>284</v>
      </c>
      <c r="B17" s="131" t="s">
        <v>285</v>
      </c>
      <c r="C17" s="131" t="s">
        <v>286</v>
      </c>
      <c r="D17" s="138">
        <v>15205</v>
      </c>
      <c r="E17" s="134" t="s">
        <v>287</v>
      </c>
      <c r="F17" s="134" t="s">
        <v>288</v>
      </c>
      <c r="G17" s="134" t="s">
        <v>289</v>
      </c>
      <c r="H17" s="136" t="s">
        <v>238</v>
      </c>
      <c r="I17" s="136" t="s">
        <v>238</v>
      </c>
      <c r="J17" s="136" t="s">
        <v>238</v>
      </c>
      <c r="K17" s="136" t="s">
        <v>238</v>
      </c>
      <c r="L17" s="118"/>
    </row>
    <row r="18" spans="1:12" ht="66.75" customHeight="1">
      <c r="A18" s="137" t="s">
        <v>290</v>
      </c>
      <c r="B18" s="139" t="s">
        <v>291</v>
      </c>
      <c r="C18" s="139" t="s">
        <v>292</v>
      </c>
      <c r="D18" s="150" t="s">
        <v>238</v>
      </c>
      <c r="E18" s="150" t="s">
        <v>238</v>
      </c>
      <c r="F18" s="238" t="s">
        <v>293</v>
      </c>
      <c r="G18" s="238"/>
      <c r="H18" s="151" t="s">
        <v>238</v>
      </c>
      <c r="I18" s="151" t="s">
        <v>238</v>
      </c>
      <c r="J18" s="151" t="s">
        <v>238</v>
      </c>
      <c r="K18" s="151" t="s">
        <v>238</v>
      </c>
      <c r="L18" s="118"/>
    </row>
    <row r="19" spans="1:12" ht="321">
      <c r="A19" s="137" t="s">
        <v>294</v>
      </c>
      <c r="B19" s="139" t="s">
        <v>295</v>
      </c>
      <c r="C19" s="139" t="s">
        <v>296</v>
      </c>
      <c r="D19" s="152">
        <f>0.788*0.02*10^6*0.000404</f>
        <v>6.3670400000000003</v>
      </c>
      <c r="E19" s="153" t="s">
        <v>297</v>
      </c>
      <c r="F19" s="139" t="s">
        <v>298</v>
      </c>
      <c r="G19" s="139" t="s">
        <v>299</v>
      </c>
      <c r="H19" s="152">
        <f>54.71*(10^6/10^15)*1235*10^6</f>
        <v>67.566850000000002</v>
      </c>
      <c r="I19" s="153" t="s">
        <v>297</v>
      </c>
      <c r="J19" s="139" t="s">
        <v>300</v>
      </c>
      <c r="K19" s="139" t="s">
        <v>301</v>
      </c>
      <c r="L19" s="118"/>
    </row>
    <row r="20" spans="1:12" ht="66.75">
      <c r="A20" s="137" t="s">
        <v>302</v>
      </c>
      <c r="B20" s="131" t="s">
        <v>303</v>
      </c>
      <c r="C20" s="131" t="s">
        <v>304</v>
      </c>
      <c r="D20" s="154">
        <v>2.6670000000000001E-3</v>
      </c>
      <c r="E20" s="135" t="s">
        <v>305</v>
      </c>
      <c r="F20" s="137" t="s">
        <v>306</v>
      </c>
      <c r="G20" s="131" t="s">
        <v>307</v>
      </c>
      <c r="H20" s="136" t="s">
        <v>238</v>
      </c>
      <c r="I20" s="136" t="s">
        <v>238</v>
      </c>
      <c r="J20" s="136" t="s">
        <v>238</v>
      </c>
      <c r="K20" s="136" t="s">
        <v>238</v>
      </c>
      <c r="L20" s="118"/>
    </row>
    <row r="21" spans="1:12" ht="66.75" customHeight="1">
      <c r="A21" s="137" t="s">
        <v>308</v>
      </c>
      <c r="B21" s="139" t="s">
        <v>291</v>
      </c>
      <c r="C21" s="139" t="s">
        <v>292</v>
      </c>
      <c r="D21" s="150" t="s">
        <v>238</v>
      </c>
      <c r="E21" s="150" t="s">
        <v>238</v>
      </c>
      <c r="F21" s="238" t="s">
        <v>293</v>
      </c>
      <c r="G21" s="238"/>
      <c r="H21" s="151" t="s">
        <v>238</v>
      </c>
      <c r="I21" s="151" t="s">
        <v>238</v>
      </c>
      <c r="J21" s="151" t="s">
        <v>238</v>
      </c>
      <c r="K21" s="151" t="s">
        <v>238</v>
      </c>
      <c r="L21" s="118"/>
    </row>
    <row r="22" spans="1:12" s="155" customFormat="1" ht="185.25">
      <c r="A22" s="137" t="s">
        <v>309</v>
      </c>
      <c r="B22" s="134" t="s">
        <v>285</v>
      </c>
      <c r="C22" s="134" t="s">
        <v>286</v>
      </c>
      <c r="D22" s="140">
        <f>150/0.02832</f>
        <v>5296.6101694915251</v>
      </c>
      <c r="E22" s="139" t="s">
        <v>310</v>
      </c>
      <c r="F22" s="137" t="s">
        <v>311</v>
      </c>
      <c r="G22" s="134" t="s">
        <v>312</v>
      </c>
      <c r="H22" s="151" t="s">
        <v>238</v>
      </c>
      <c r="I22" s="151" t="s">
        <v>238</v>
      </c>
      <c r="J22" s="151" t="s">
        <v>238</v>
      </c>
      <c r="K22" s="151" t="s">
        <v>238</v>
      </c>
      <c r="L22" s="118"/>
    </row>
    <row r="23" spans="1:12" s="155" customFormat="1" ht="53.25" customHeight="1">
      <c r="A23" s="137" t="s">
        <v>313</v>
      </c>
      <c r="B23" s="134" t="s">
        <v>233</v>
      </c>
      <c r="C23" s="139" t="s">
        <v>314</v>
      </c>
      <c r="D23" s="152">
        <f>B52*10^9/(455015+525000)*$C$62</f>
        <v>5.3591016464033716</v>
      </c>
      <c r="E23" s="156" t="s">
        <v>315</v>
      </c>
      <c r="F23" s="132" t="s">
        <v>316</v>
      </c>
      <c r="G23" s="134" t="s">
        <v>317</v>
      </c>
      <c r="H23" s="151" t="s">
        <v>238</v>
      </c>
      <c r="I23" s="151" t="s">
        <v>238</v>
      </c>
      <c r="J23" s="151" t="s">
        <v>238</v>
      </c>
      <c r="K23" s="151" t="s">
        <v>238</v>
      </c>
      <c r="L23" s="118"/>
    </row>
    <row r="24" spans="1:12" s="155" customFormat="1" ht="114.75">
      <c r="A24" s="137" t="s">
        <v>318</v>
      </c>
      <c r="B24" s="142"/>
      <c r="C24" s="142"/>
      <c r="D24" s="157"/>
      <c r="E24" s="158"/>
      <c r="F24" s="142"/>
      <c r="G24" s="142"/>
      <c r="H24" s="142"/>
      <c r="I24" s="142"/>
      <c r="J24" s="142"/>
      <c r="K24" s="144"/>
      <c r="L24" s="118"/>
    </row>
    <row r="25" spans="1:12" ht="146.25">
      <c r="A25" s="159" t="s">
        <v>319</v>
      </c>
      <c r="B25" s="134" t="s">
        <v>320</v>
      </c>
      <c r="C25" s="134" t="s">
        <v>321</v>
      </c>
      <c r="D25" s="160">
        <f>H25*(0.02/0.98)</f>
        <v>13.143059887163062</v>
      </c>
      <c r="E25" s="132" t="s">
        <v>322</v>
      </c>
      <c r="F25" s="141" t="s">
        <v>323</v>
      </c>
      <c r="G25" s="134" t="s">
        <v>324</v>
      </c>
      <c r="H25" s="138">
        <f>(0.0781/10^6)*(1/0.293)*745.7*90*24*1500</f>
        <v>644.00993447098995</v>
      </c>
      <c r="I25" s="132" t="s">
        <v>325</v>
      </c>
      <c r="J25" s="141" t="s">
        <v>323</v>
      </c>
      <c r="K25" s="134" t="s">
        <v>326</v>
      </c>
      <c r="L25" s="118"/>
    </row>
    <row r="26" spans="1:12" ht="146.25">
      <c r="A26" s="159" t="s">
        <v>327</v>
      </c>
      <c r="B26" s="134" t="s">
        <v>320</v>
      </c>
      <c r="C26" s="134" t="s">
        <v>328</v>
      </c>
      <c r="D26" s="161">
        <f>H26*(0.02/0.98)</f>
        <v>13.143059887163062</v>
      </c>
      <c r="E26" s="132" t="s">
        <v>322</v>
      </c>
      <c r="F26" s="141" t="s">
        <v>323</v>
      </c>
      <c r="G26" s="134" t="s">
        <v>324</v>
      </c>
      <c r="H26" s="138">
        <f>(0.0781/10^6)*(1/0.293)*745.7*90*24*1500</f>
        <v>644.00993447098995</v>
      </c>
      <c r="I26" s="132" t="s">
        <v>325</v>
      </c>
      <c r="J26" s="141" t="s">
        <v>323</v>
      </c>
      <c r="K26" s="134" t="s">
        <v>326</v>
      </c>
      <c r="L26" s="118"/>
    </row>
    <row r="27" spans="1:12" ht="228.75">
      <c r="A27" s="239" t="s">
        <v>329</v>
      </c>
      <c r="B27" s="134" t="s">
        <v>330</v>
      </c>
      <c r="C27" s="134" t="s">
        <v>331</v>
      </c>
      <c r="D27" s="162">
        <v>0.24</v>
      </c>
      <c r="E27" s="132" t="s">
        <v>332</v>
      </c>
      <c r="F27" s="141" t="s">
        <v>333</v>
      </c>
      <c r="G27" s="134" t="s">
        <v>334</v>
      </c>
      <c r="H27" s="163">
        <f>0.0531*15992</f>
        <v>849.17520000000002</v>
      </c>
      <c r="I27" s="139" t="s">
        <v>335</v>
      </c>
      <c r="J27" s="141" t="s">
        <v>336</v>
      </c>
      <c r="K27" s="134" t="s">
        <v>337</v>
      </c>
      <c r="L27" s="118"/>
    </row>
    <row r="28" spans="1:12" ht="409.5">
      <c r="A28" s="239"/>
      <c r="B28" s="134" t="s">
        <v>338</v>
      </c>
      <c r="C28" s="134" t="s">
        <v>339</v>
      </c>
      <c r="D28" s="140">
        <f>D27*1000000*(52434/32233)</f>
        <v>390412.31036515371</v>
      </c>
      <c r="E28" s="132" t="s">
        <v>340</v>
      </c>
      <c r="F28" s="141" t="s">
        <v>341</v>
      </c>
      <c r="G28" s="134" t="s">
        <v>342</v>
      </c>
      <c r="H28" s="138">
        <f>H27*(52434/32233)</f>
        <v>1381.3685489032978</v>
      </c>
      <c r="I28" s="132" t="s">
        <v>343</v>
      </c>
      <c r="J28" s="141" t="s">
        <v>344</v>
      </c>
      <c r="K28" s="132" t="s">
        <v>342</v>
      </c>
      <c r="L28" s="118"/>
    </row>
    <row r="29" spans="1:12" ht="15.75" customHeight="1">
      <c r="A29" s="240" t="s">
        <v>213</v>
      </c>
      <c r="B29" s="240"/>
      <c r="C29" s="240"/>
      <c r="D29" s="164"/>
      <c r="E29" s="165"/>
      <c r="F29" s="166"/>
      <c r="G29" s="167"/>
      <c r="H29" s="164"/>
      <c r="I29" s="119"/>
      <c r="J29" s="119"/>
      <c r="K29" s="119"/>
      <c r="L29" s="118"/>
    </row>
    <row r="30" spans="1:12" ht="14.25">
      <c r="A30" s="241" t="s">
        <v>345</v>
      </c>
      <c r="B30" s="241"/>
      <c r="C30" s="241"/>
      <c r="D30" s="168"/>
      <c r="E30" s="169"/>
      <c r="F30" s="170"/>
      <c r="G30" s="171"/>
      <c r="H30" s="168"/>
      <c r="I30" s="119"/>
      <c r="J30" s="119"/>
      <c r="K30" s="119"/>
      <c r="L30" s="118"/>
    </row>
    <row r="31" spans="1:12" ht="29.25" customHeight="1">
      <c r="A31" s="237" t="s">
        <v>346</v>
      </c>
      <c r="B31" s="237"/>
      <c r="C31" s="237"/>
      <c r="D31" s="168"/>
      <c r="E31" s="169"/>
      <c r="F31" s="170"/>
      <c r="G31" s="171"/>
      <c r="H31" s="168"/>
      <c r="I31" s="119"/>
      <c r="J31" s="119"/>
      <c r="K31" s="119"/>
      <c r="L31" s="118"/>
    </row>
    <row r="32" spans="1:12" ht="44.25" customHeight="1">
      <c r="A32" s="237" t="s">
        <v>347</v>
      </c>
      <c r="B32" s="237"/>
      <c r="C32" s="237"/>
      <c r="D32" s="168"/>
      <c r="E32" s="169"/>
      <c r="F32" s="170"/>
      <c r="G32" s="171"/>
      <c r="H32" s="168"/>
      <c r="I32" s="119"/>
      <c r="J32" s="119"/>
      <c r="K32" s="119"/>
      <c r="L32" s="118"/>
    </row>
    <row r="33" spans="1:12" ht="14.25">
      <c r="A33" s="237" t="s">
        <v>348</v>
      </c>
      <c r="B33" s="237"/>
      <c r="C33" s="237"/>
      <c r="D33" s="118"/>
      <c r="E33" s="169"/>
      <c r="F33" s="170"/>
      <c r="G33" s="171"/>
      <c r="H33" s="168"/>
      <c r="I33" s="119"/>
      <c r="J33" s="119"/>
      <c r="K33" s="119"/>
      <c r="L33" s="118"/>
    </row>
    <row r="34" spans="1:12" ht="43.5" customHeight="1">
      <c r="A34" s="242" t="s">
        <v>349</v>
      </c>
      <c r="B34" s="242"/>
      <c r="C34" s="242"/>
      <c r="D34" s="119" t="s">
        <v>350</v>
      </c>
      <c r="E34" s="169"/>
      <c r="F34" s="170"/>
      <c r="G34" s="171"/>
      <c r="H34" s="168"/>
      <c r="I34" s="119"/>
      <c r="J34" s="119"/>
      <c r="K34" s="119"/>
      <c r="L34" s="118"/>
    </row>
    <row r="35" spans="1:12" ht="12.75" customHeight="1">
      <c r="A35" s="236" t="s">
        <v>351</v>
      </c>
      <c r="B35" s="236"/>
      <c r="C35" s="236"/>
      <c r="D35" s="119"/>
      <c r="E35" s="169"/>
      <c r="F35" s="170"/>
      <c r="G35" s="171"/>
      <c r="H35" s="168"/>
      <c r="I35" s="119"/>
      <c r="J35" s="119"/>
      <c r="K35" s="119"/>
      <c r="L35" s="118"/>
    </row>
    <row r="36" spans="1:12" ht="14.25">
      <c r="A36" s="118"/>
      <c r="B36" s="118"/>
      <c r="C36" s="172"/>
      <c r="D36" s="172"/>
      <c r="E36" s="118"/>
      <c r="F36" s="118"/>
      <c r="G36" s="171"/>
      <c r="H36" s="168"/>
      <c r="I36" s="119"/>
      <c r="J36" s="119"/>
      <c r="K36" s="119"/>
      <c r="L36" s="118"/>
    </row>
    <row r="37" spans="1:12" ht="14.25">
      <c r="A37" s="118"/>
      <c r="B37" s="118"/>
      <c r="C37" s="118"/>
      <c r="D37" s="118"/>
      <c r="E37" s="118"/>
      <c r="F37" s="118"/>
      <c r="G37" s="119"/>
      <c r="H37" s="118"/>
      <c r="I37" s="118"/>
      <c r="J37" s="118"/>
      <c r="K37" s="118"/>
      <c r="L37" s="118"/>
    </row>
    <row r="38" spans="1:12" ht="14.25">
      <c r="A38" s="118"/>
      <c r="B38" s="118"/>
      <c r="C38" s="118"/>
      <c r="D38" s="118"/>
      <c r="E38" s="118"/>
      <c r="F38" s="118"/>
      <c r="G38" s="119"/>
      <c r="H38" s="118"/>
      <c r="I38" s="118"/>
      <c r="J38" s="118"/>
      <c r="K38" s="118"/>
      <c r="L38" s="118"/>
    </row>
    <row r="39" spans="1:12" ht="14.25">
      <c r="A39" s="173" t="s">
        <v>352</v>
      </c>
      <c r="B39" s="174"/>
      <c r="C39" s="118"/>
      <c r="D39" s="118"/>
      <c r="E39" s="118"/>
      <c r="F39" s="118"/>
      <c r="G39" s="119"/>
      <c r="H39" s="118"/>
      <c r="I39" s="118"/>
      <c r="J39" s="118"/>
      <c r="K39" s="118"/>
      <c r="L39" s="118"/>
    </row>
    <row r="40" spans="1:12" ht="15">
      <c r="A40" s="175" t="s">
        <v>353</v>
      </c>
      <c r="B40" s="175"/>
      <c r="C40" s="118"/>
      <c r="D40" s="118"/>
      <c r="E40" s="118"/>
      <c r="F40" s="118"/>
      <c r="G40" s="119"/>
      <c r="H40" s="118"/>
      <c r="I40" s="118"/>
      <c r="J40" s="118"/>
      <c r="K40" s="118"/>
      <c r="L40" s="118"/>
    </row>
    <row r="41" spans="1:12" ht="29.25" customHeight="1">
      <c r="A41" s="232" t="s">
        <v>354</v>
      </c>
      <c r="B41" s="232"/>
      <c r="C41" s="122"/>
      <c r="D41" s="118"/>
      <c r="E41" s="118"/>
      <c r="F41" s="118"/>
      <c r="G41" s="119"/>
      <c r="H41" s="118"/>
      <c r="I41" s="118"/>
      <c r="J41" s="118"/>
      <c r="K41" s="118"/>
      <c r="L41" s="118"/>
    </row>
    <row r="42" spans="1:12" ht="29.25" customHeight="1">
      <c r="A42" s="232" t="s">
        <v>246</v>
      </c>
      <c r="B42" s="232"/>
      <c r="C42" s="122"/>
      <c r="D42" s="118"/>
      <c r="E42" s="118"/>
      <c r="F42" s="118"/>
      <c r="G42" s="119"/>
      <c r="H42" s="118"/>
      <c r="I42" s="118"/>
      <c r="J42" s="118"/>
      <c r="K42" s="118"/>
      <c r="L42" s="118"/>
    </row>
    <row r="43" spans="1:12" ht="14.25">
      <c r="A43" s="118"/>
      <c r="B43" s="118"/>
      <c r="C43" s="118"/>
      <c r="D43" s="118"/>
      <c r="E43" s="118"/>
      <c r="F43" s="118"/>
      <c r="G43" s="119"/>
      <c r="H43" s="118"/>
      <c r="I43" s="118"/>
      <c r="J43" s="118"/>
      <c r="K43" s="118"/>
      <c r="L43" s="118"/>
    </row>
    <row r="44" spans="1:12" ht="42.75" customHeight="1">
      <c r="A44" s="176" t="s">
        <v>353</v>
      </c>
      <c r="B44" s="177" t="s">
        <v>355</v>
      </c>
      <c r="C44" s="178"/>
      <c r="D44" s="179"/>
      <c r="E44" s="179"/>
      <c r="F44" s="118"/>
      <c r="G44" s="119"/>
      <c r="H44" s="180"/>
      <c r="I44" s="181"/>
      <c r="J44" s="182"/>
      <c r="K44" s="183"/>
      <c r="L44" s="118"/>
    </row>
    <row r="45" spans="1:12" ht="14.25">
      <c r="A45" s="131" t="s">
        <v>356</v>
      </c>
      <c r="B45" s="184">
        <v>141</v>
      </c>
      <c r="C45" s="185"/>
      <c r="D45" s="182"/>
      <c r="E45" s="183"/>
      <c r="F45" s="118"/>
      <c r="G45" s="119"/>
      <c r="H45" s="180"/>
      <c r="I45" s="181"/>
      <c r="J45" s="182"/>
      <c r="K45" s="183"/>
      <c r="L45" s="118"/>
    </row>
    <row r="46" spans="1:12" ht="14.25">
      <c r="A46" s="131" t="s">
        <v>357</v>
      </c>
      <c r="B46" s="184">
        <v>80</v>
      </c>
      <c r="C46" s="185"/>
      <c r="D46" s="182"/>
      <c r="E46" s="183"/>
      <c r="F46" s="118"/>
      <c r="G46" s="119"/>
      <c r="H46" s="180"/>
      <c r="I46" s="181"/>
      <c r="J46" s="182"/>
      <c r="K46" s="183"/>
      <c r="L46" s="118"/>
    </row>
    <row r="47" spans="1:12" ht="14.25">
      <c r="A47" s="131" t="s">
        <v>358</v>
      </c>
      <c r="B47" s="184">
        <v>77</v>
      </c>
      <c r="C47" s="185"/>
      <c r="D47" s="182"/>
      <c r="E47" s="183"/>
      <c r="F47" s="118"/>
      <c r="G47" s="119"/>
      <c r="H47" s="180"/>
      <c r="I47" s="181"/>
      <c r="J47" s="182"/>
      <c r="K47" s="183"/>
      <c r="L47" s="118"/>
    </row>
    <row r="48" spans="1:12" ht="14.25">
      <c r="A48" s="131" t="s">
        <v>359</v>
      </c>
      <c r="B48" s="184">
        <v>27</v>
      </c>
      <c r="C48" s="185"/>
      <c r="D48" s="182"/>
      <c r="E48" s="186"/>
      <c r="F48" s="118"/>
      <c r="G48" s="119"/>
      <c r="H48" s="180"/>
      <c r="I48" s="181"/>
      <c r="J48" s="182"/>
      <c r="K48" s="183"/>
      <c r="L48" s="118"/>
    </row>
    <row r="49" spans="1:12" ht="14.25">
      <c r="A49" s="131" t="s">
        <v>360</v>
      </c>
      <c r="B49" s="184">
        <v>11</v>
      </c>
      <c r="C49" s="185"/>
      <c r="D49" s="182"/>
      <c r="E49" s="186"/>
      <c r="F49" s="118"/>
      <c r="G49" s="119"/>
      <c r="H49" s="180"/>
      <c r="I49" s="181"/>
      <c r="J49" s="182"/>
      <c r="K49" s="183"/>
      <c r="L49" s="118"/>
    </row>
    <row r="50" spans="1:12" ht="14.25">
      <c r="A50" s="131" t="s">
        <v>361</v>
      </c>
      <c r="B50" s="184">
        <v>7</v>
      </c>
      <c r="C50" s="185"/>
      <c r="D50" s="182"/>
      <c r="E50" s="186"/>
      <c r="F50" s="118"/>
      <c r="G50" s="119"/>
      <c r="H50" s="180"/>
      <c r="I50" s="181"/>
      <c r="J50" s="182"/>
      <c r="K50" s="183"/>
      <c r="L50" s="118"/>
    </row>
    <row r="51" spans="1:12" ht="14.25">
      <c r="A51" s="131" t="s">
        <v>362</v>
      </c>
      <c r="B51" s="184">
        <v>7</v>
      </c>
      <c r="C51" s="185"/>
      <c r="D51" s="182"/>
      <c r="E51" s="183"/>
      <c r="F51" s="118"/>
      <c r="G51" s="119"/>
      <c r="H51" s="180"/>
      <c r="I51" s="181"/>
      <c r="J51" s="182"/>
      <c r="K51" s="183"/>
      <c r="L51" s="118"/>
    </row>
    <row r="52" spans="1:12" ht="14.25">
      <c r="A52" s="131" t="s">
        <v>363</v>
      </c>
      <c r="B52" s="184">
        <v>13</v>
      </c>
      <c r="C52" s="185"/>
      <c r="D52" s="182"/>
      <c r="E52" s="183"/>
      <c r="F52" s="118"/>
      <c r="G52" s="119"/>
      <c r="H52" s="180"/>
      <c r="I52" s="181"/>
      <c r="J52" s="182"/>
      <c r="K52" s="183"/>
      <c r="L52" s="118"/>
    </row>
    <row r="53" spans="1:12" ht="14.25">
      <c r="A53" s="131" t="s">
        <v>364</v>
      </c>
      <c r="B53" s="184">
        <v>24</v>
      </c>
      <c r="C53" s="185"/>
      <c r="D53" s="182"/>
      <c r="E53" s="187"/>
      <c r="F53" s="118"/>
      <c r="G53" s="119"/>
      <c r="H53" s="180"/>
      <c r="I53" s="181"/>
      <c r="J53" s="182"/>
      <c r="K53" s="183"/>
      <c r="L53" s="118"/>
    </row>
    <row r="54" spans="1:12" ht="14.25">
      <c r="A54" s="188" t="s">
        <v>365</v>
      </c>
      <c r="B54" s="189">
        <f>SUM(B45:B53)</f>
        <v>387</v>
      </c>
      <c r="C54" s="185"/>
      <c r="D54" s="190"/>
      <c r="E54" s="118"/>
      <c r="F54" s="118"/>
      <c r="G54" s="119"/>
      <c r="H54" s="180"/>
      <c r="I54" s="181"/>
      <c r="J54" s="182"/>
      <c r="K54" s="183"/>
      <c r="L54" s="118"/>
    </row>
    <row r="55" spans="1:12" ht="14.25">
      <c r="A55" s="191" t="s">
        <v>366</v>
      </c>
      <c r="B55" s="192">
        <f>B54-B53</f>
        <v>363</v>
      </c>
      <c r="C55" s="185"/>
      <c r="D55" s="193"/>
      <c r="E55" s="118"/>
      <c r="F55" s="118"/>
      <c r="G55" s="119"/>
      <c r="H55" s="180"/>
      <c r="I55" s="181"/>
      <c r="J55" s="182"/>
      <c r="K55" s="183"/>
      <c r="L55" s="118"/>
    </row>
    <row r="56" spans="1:12" ht="25.5" customHeight="1">
      <c r="A56" s="233" t="s">
        <v>367</v>
      </c>
      <c r="B56" s="233"/>
      <c r="C56" s="194"/>
      <c r="D56" s="183"/>
      <c r="E56" s="118"/>
      <c r="F56" s="118"/>
      <c r="G56" s="119"/>
      <c r="H56" s="180"/>
      <c r="I56" s="181"/>
      <c r="J56" s="182"/>
      <c r="K56" s="183"/>
      <c r="L56" s="118"/>
    </row>
    <row r="57" spans="1:12" ht="14.25">
      <c r="A57" s="118"/>
      <c r="B57" s="118"/>
      <c r="C57" s="118"/>
      <c r="D57" s="118"/>
      <c r="E57" s="118"/>
      <c r="F57" s="118"/>
      <c r="G57" s="119"/>
      <c r="H57" s="180"/>
      <c r="I57" s="181"/>
      <c r="J57" s="182"/>
      <c r="K57" s="183"/>
      <c r="L57" s="118"/>
    </row>
    <row r="58" spans="1:12" ht="14.25">
      <c r="A58" s="118"/>
      <c r="B58" s="118"/>
      <c r="C58" s="118"/>
      <c r="D58" s="118"/>
      <c r="E58" s="118"/>
      <c r="F58" s="118"/>
      <c r="G58" s="119"/>
      <c r="H58" s="180"/>
      <c r="I58" s="181"/>
      <c r="J58" s="182"/>
      <c r="K58" s="183"/>
      <c r="L58" s="118"/>
    </row>
    <row r="59" spans="1:12" ht="14.25">
      <c r="A59" s="118"/>
      <c r="B59" s="118"/>
      <c r="C59" s="118"/>
      <c r="D59" s="186"/>
      <c r="E59" s="195"/>
      <c r="G59" s="119"/>
      <c r="H59" s="187"/>
      <c r="I59" s="195"/>
      <c r="J59" s="195"/>
      <c r="K59" s="196"/>
      <c r="L59" s="118"/>
    </row>
    <row r="60" spans="1:12" ht="20.25">
      <c r="A60" s="197" t="s">
        <v>368</v>
      </c>
      <c r="B60" s="198"/>
      <c r="C60" s="199"/>
      <c r="D60" s="186"/>
      <c r="E60" s="195"/>
      <c r="F60" s="118"/>
      <c r="G60" s="119"/>
      <c r="H60" s="118"/>
      <c r="I60" s="118"/>
      <c r="J60" s="118"/>
      <c r="K60" s="118"/>
      <c r="L60" s="118"/>
    </row>
    <row r="61" spans="1:12" ht="14.25">
      <c r="A61" s="200" t="s">
        <v>369</v>
      </c>
      <c r="B61" s="200" t="s">
        <v>370</v>
      </c>
      <c r="C61" s="200" t="s">
        <v>371</v>
      </c>
      <c r="D61" s="201"/>
      <c r="E61" s="118"/>
      <c r="F61" s="118"/>
      <c r="G61" s="119"/>
      <c r="H61" s="118"/>
      <c r="I61" s="118"/>
      <c r="J61" s="118"/>
      <c r="K61" s="118"/>
      <c r="L61" s="118"/>
    </row>
    <row r="62" spans="1:12" ht="15.75">
      <c r="A62" s="202" t="s">
        <v>372</v>
      </c>
      <c r="B62" s="202" t="s">
        <v>373</v>
      </c>
      <c r="C62" s="202">
        <v>4.0400000000000001E-4</v>
      </c>
      <c r="D62" s="201"/>
      <c r="E62" s="118"/>
      <c r="F62" s="118"/>
      <c r="G62" s="119"/>
      <c r="H62" s="118"/>
      <c r="I62" s="118"/>
      <c r="J62" s="118"/>
      <c r="K62" s="118"/>
      <c r="L62" s="118"/>
    </row>
    <row r="63" spans="1:12" ht="15.75">
      <c r="A63" s="202" t="s">
        <v>374</v>
      </c>
      <c r="B63" s="202" t="s">
        <v>373</v>
      </c>
      <c r="C63" s="203">
        <f>52.62/1000000</f>
        <v>5.2619999999999994E-5</v>
      </c>
      <c r="D63" s="204"/>
      <c r="E63" s="118"/>
      <c r="F63" s="118"/>
      <c r="G63" s="119"/>
      <c r="H63" s="118"/>
      <c r="I63" s="118"/>
      <c r="J63" s="118"/>
      <c r="K63" s="118"/>
      <c r="L63" s="118"/>
    </row>
    <row r="64" spans="1:12" ht="15.75">
      <c r="A64" s="202" t="s">
        <v>375</v>
      </c>
      <c r="B64" s="202" t="s">
        <v>376</v>
      </c>
      <c r="C64" s="205">
        <v>84</v>
      </c>
      <c r="D64" s="118"/>
      <c r="E64" s="118"/>
      <c r="F64" s="118"/>
      <c r="G64" s="119"/>
      <c r="H64" s="118"/>
      <c r="I64" s="118"/>
      <c r="J64" s="118"/>
      <c r="K64" s="118"/>
      <c r="L64" s="118"/>
    </row>
    <row r="65" spans="1:12" ht="15.75">
      <c r="A65" s="234" t="s">
        <v>377</v>
      </c>
      <c r="B65" s="234"/>
      <c r="C65" s="234"/>
      <c r="D65" s="118"/>
      <c r="E65" s="118"/>
      <c r="F65" s="118"/>
      <c r="G65" s="119"/>
      <c r="H65" s="118"/>
      <c r="I65" s="118"/>
      <c r="J65" s="118"/>
      <c r="K65" s="118"/>
      <c r="L65" s="118"/>
    </row>
    <row r="66" spans="1:12" ht="14.25">
      <c r="A66" s="206"/>
      <c r="B66" s="207"/>
      <c r="C66" s="118"/>
      <c r="D66" s="118"/>
      <c r="E66" s="118"/>
      <c r="F66" s="118"/>
      <c r="G66" s="119"/>
      <c r="H66" s="118"/>
      <c r="I66" s="118"/>
      <c r="J66" s="118"/>
      <c r="K66" s="118"/>
      <c r="L66" s="118"/>
    </row>
    <row r="67" spans="1:12" ht="14.25">
      <c r="A67" s="206"/>
      <c r="B67" s="206"/>
      <c r="C67" s="118"/>
      <c r="D67" s="118"/>
      <c r="E67" s="118"/>
      <c r="F67" s="118"/>
      <c r="G67" s="119"/>
      <c r="H67" s="118"/>
      <c r="I67" s="118"/>
      <c r="J67" s="118"/>
      <c r="K67" s="118"/>
      <c r="L67" s="118"/>
    </row>
    <row r="69" spans="1:12" ht="12.75" customHeight="1">
      <c r="A69" s="235" t="s">
        <v>378</v>
      </c>
      <c r="B69" s="235"/>
      <c r="C69" s="235"/>
    </row>
    <row r="70" spans="1:12" ht="12.75" customHeight="1">
      <c r="A70" s="235"/>
      <c r="B70" s="235"/>
      <c r="C70" s="235"/>
    </row>
    <row r="71" spans="1:12" ht="12.75" customHeight="1">
      <c r="A71" s="235"/>
      <c r="B71" s="235"/>
      <c r="C71" s="235"/>
    </row>
    <row r="72" spans="1:12" ht="12.75" customHeight="1">
      <c r="A72" s="235"/>
      <c r="B72" s="235"/>
      <c r="C72" s="235"/>
    </row>
    <row r="73" spans="1:12" ht="12.75" customHeight="1">
      <c r="A73" s="235"/>
      <c r="B73" s="235"/>
      <c r="C73" s="235"/>
    </row>
    <row r="74" spans="1:12" ht="12.75" customHeight="1">
      <c r="A74" s="235"/>
      <c r="B74" s="235"/>
      <c r="C74" s="235"/>
    </row>
    <row r="75" spans="1:12" ht="12.75" customHeight="1">
      <c r="A75" s="235"/>
      <c r="B75" s="235"/>
      <c r="C75" s="235"/>
    </row>
    <row r="76" spans="1:12" ht="12.75" customHeight="1">
      <c r="A76" s="235"/>
      <c r="B76" s="235"/>
      <c r="C76" s="235"/>
    </row>
    <row r="77" spans="1:12" ht="12.75" customHeight="1">
      <c r="A77" s="235"/>
      <c r="B77" s="235"/>
      <c r="C77" s="235"/>
    </row>
    <row r="78" spans="1:12" ht="12.75" customHeight="1">
      <c r="A78" s="235"/>
      <c r="B78" s="235"/>
      <c r="C78" s="235"/>
    </row>
  </sheetData>
  <sheetProtection algorithmName="SHA-512" hashValue="8dCHa0px2KBgCx4hovU7iVWohPkDY0D0WtQevfnqR0srl4QoqvpFxDszVYdYBT0+3r6Nhmne5K1BlPM2yyfxXw==" saltValue="PcrAbulENz621hZeY1KzEg==" spinCount="100000" sheet="1" objects="1" scenarios="1"/>
  <mergeCells count="17">
    <mergeCell ref="A35:C35"/>
    <mergeCell ref="A3:C3"/>
    <mergeCell ref="A12:A13"/>
    <mergeCell ref="F18:G18"/>
    <mergeCell ref="F21:G21"/>
    <mergeCell ref="A27:A28"/>
    <mergeCell ref="A29:C29"/>
    <mergeCell ref="A30:C30"/>
    <mergeCell ref="A31:C31"/>
    <mergeCell ref="A32:C32"/>
    <mergeCell ref="A33:C33"/>
    <mergeCell ref="A34:C34"/>
    <mergeCell ref="A41:B41"/>
    <mergeCell ref="A42:B42"/>
    <mergeCell ref="A56:B56"/>
    <mergeCell ref="A65:C65"/>
    <mergeCell ref="A69:C78"/>
  </mergeCells>
  <pageMargins left="0.70000000000000007" right="0.70000000000000007" top="1.1437000000000002" bottom="1.1437000000000002" header="0.75000000000000011" footer="0.75000000000000011"/>
  <pageSetup paperSize="0" fitToWidth="0" fitToHeight="0" orientation="portrait" horizontalDpi="0" verticalDpi="0" copies="0"/>
  <headerFooter alignWithMargins="0"/>
  <legacy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
  <sheetViews>
    <sheetView tabSelected="1" workbookViewId="0"/>
  </sheetViews>
  <sheetFormatPr defaultRowHeight="14.25"/>
  <cols>
    <col min="1" max="1024" width="8" customWidth="1"/>
  </cols>
  <sheetData/>
  <sheetProtection algorithmName="SHA-512" hashValue="vxjx1cTO7FJOsf8lQcImimqshE/TNeRCTC1pX4LRFZm2cqvL3ktUhA972MlRAXPxo8/xTloDbW6iIqJh+wur1g==" saltValue="PXQ5YfldHDqhuQXU6dUDiA==" spinCount="100000" sheet="1" objects="1" scenarios="1"/>
  <pageMargins left="0.70000000000000007" right="0.70000000000000007" top="1.1437000000000002" bottom="1.1437000000000002" header="0.75000000000000011" footer="0.75000000000000011"/>
  <pageSetup paperSize="0" fitToWidth="0" fitToHeight="0" orientation="landscape" horizontalDpi="0" verticalDpi="0" copies="0"/>
  <headerFooter alignWithMargins="0"/>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75"/>
  <sheetViews>
    <sheetView topLeftCell="A3" workbookViewId="0">
      <selection activeCell="C44" sqref="C44"/>
    </sheetView>
  </sheetViews>
  <sheetFormatPr defaultRowHeight="14.25"/>
  <cols>
    <col min="1" max="1" width="14" customWidth="1"/>
    <col min="2" max="2" width="33.75" customWidth="1"/>
    <col min="3" max="3" width="9.875" customWidth="1"/>
    <col min="4" max="4" width="13.75" customWidth="1"/>
    <col min="5" max="5" width="10.375" customWidth="1"/>
    <col min="6" max="7" width="8.625" customWidth="1"/>
    <col min="8" max="8" width="9.75" customWidth="1"/>
    <col min="9" max="9" width="8" customWidth="1"/>
    <col min="10" max="10" width="10.875" customWidth="1"/>
    <col min="11" max="11" width="17.875" customWidth="1"/>
    <col min="12" max="12" width="25" customWidth="1"/>
    <col min="13" max="1024" width="8" customWidth="1"/>
  </cols>
  <sheetData>
    <row r="1" spans="1:11" ht="15.75">
      <c r="A1" s="23" t="s">
        <v>25</v>
      </c>
      <c r="B1" s="14" t="s">
        <v>26</v>
      </c>
    </row>
    <row r="2" spans="1:11">
      <c r="A2" s="15" t="s">
        <v>27</v>
      </c>
      <c r="B2" s="16" t="s">
        <v>28</v>
      </c>
    </row>
    <row r="3" spans="1:11" ht="63.75">
      <c r="A3" s="17" t="s">
        <v>38</v>
      </c>
      <c r="B3" s="18" t="s">
        <v>39</v>
      </c>
      <c r="C3" s="18" t="s">
        <v>62</v>
      </c>
      <c r="D3" s="17" t="s">
        <v>63</v>
      </c>
      <c r="E3" s="17" t="s">
        <v>64</v>
      </c>
      <c r="F3" s="17" t="s">
        <v>65</v>
      </c>
      <c r="G3" s="17" t="s">
        <v>66</v>
      </c>
      <c r="H3" s="17" t="s">
        <v>67</v>
      </c>
      <c r="I3" s="17" t="s">
        <v>68</v>
      </c>
      <c r="J3" s="17" t="s">
        <v>69</v>
      </c>
      <c r="K3" s="17" t="s">
        <v>70</v>
      </c>
    </row>
    <row r="4" spans="1:11" ht="12.75" hidden="1" customHeight="1">
      <c r="A4" s="19">
        <v>24653</v>
      </c>
    </row>
    <row r="5" spans="1:11" ht="12.75" hidden="1" customHeight="1">
      <c r="A5" s="19">
        <v>25019</v>
      </c>
    </row>
    <row r="6" spans="1:11" ht="12.75" hidden="1" customHeight="1">
      <c r="A6" s="19">
        <v>25384</v>
      </c>
    </row>
    <row r="7" spans="1:11" ht="12.75" hidden="1" customHeight="1">
      <c r="A7" s="19">
        <v>25749</v>
      </c>
    </row>
    <row r="8" spans="1:11" ht="12.75" hidden="1" customHeight="1">
      <c r="A8" s="19">
        <v>26114</v>
      </c>
    </row>
    <row r="9" spans="1:11" ht="12.75" hidden="1" customHeight="1">
      <c r="A9" s="19">
        <v>26480</v>
      </c>
    </row>
    <row r="10" spans="1:11" ht="12.75" hidden="1" customHeight="1">
      <c r="A10" s="19">
        <v>26845</v>
      </c>
    </row>
    <row r="11" spans="1:11" ht="12.75" hidden="1" customHeight="1">
      <c r="A11" s="19">
        <v>27210</v>
      </c>
    </row>
    <row r="12" spans="1:11" ht="12.75" hidden="1" customHeight="1">
      <c r="A12" s="19">
        <v>27575</v>
      </c>
    </row>
    <row r="13" spans="1:11" ht="12.75" hidden="1" customHeight="1">
      <c r="A13" s="19">
        <v>27941</v>
      </c>
    </row>
    <row r="14" spans="1:11" ht="12.75" hidden="1" customHeight="1">
      <c r="A14" s="19">
        <v>28306</v>
      </c>
    </row>
    <row r="15" spans="1:11" ht="12.75" hidden="1" customHeight="1">
      <c r="A15" s="19">
        <v>28671</v>
      </c>
    </row>
    <row r="16" spans="1:11" ht="12.75" hidden="1" customHeight="1">
      <c r="A16" s="19">
        <v>29036</v>
      </c>
    </row>
    <row r="17" spans="1:1" ht="12.75" hidden="1" customHeight="1">
      <c r="A17" s="19">
        <v>29402</v>
      </c>
    </row>
    <row r="18" spans="1:1" ht="12.75" hidden="1" customHeight="1">
      <c r="A18" s="19">
        <v>29767</v>
      </c>
    </row>
    <row r="19" spans="1:1" ht="12.75" hidden="1" customHeight="1">
      <c r="A19" s="19">
        <v>30132</v>
      </c>
    </row>
    <row r="20" spans="1:1" ht="12.75" hidden="1" customHeight="1">
      <c r="A20" s="19">
        <v>30497</v>
      </c>
    </row>
    <row r="21" spans="1:1" ht="12.75" hidden="1" customHeight="1">
      <c r="A21" s="19">
        <v>30863</v>
      </c>
    </row>
    <row r="22" spans="1:1" ht="12.75" hidden="1" customHeight="1">
      <c r="A22" s="19">
        <v>31228</v>
      </c>
    </row>
    <row r="23" spans="1:1" ht="12.75" hidden="1" customHeight="1">
      <c r="A23" s="19">
        <v>31593</v>
      </c>
    </row>
    <row r="24" spans="1:1" ht="12.75" hidden="1" customHeight="1">
      <c r="A24" s="19">
        <v>31958</v>
      </c>
    </row>
    <row r="25" spans="1:1" ht="12.75" hidden="1" customHeight="1">
      <c r="A25" s="19">
        <v>32324</v>
      </c>
    </row>
    <row r="26" spans="1:1" ht="12.75" hidden="1" customHeight="1">
      <c r="A26" s="19">
        <v>32689</v>
      </c>
    </row>
    <row r="27" spans="1:1" ht="12.75" hidden="1" customHeight="1">
      <c r="A27" s="19">
        <v>33054</v>
      </c>
    </row>
    <row r="28" spans="1:1" ht="12.75" hidden="1" customHeight="1">
      <c r="A28" s="19">
        <v>33419</v>
      </c>
    </row>
    <row r="29" spans="1:1" ht="12.75" hidden="1" customHeight="1">
      <c r="A29" s="19">
        <v>33785</v>
      </c>
    </row>
    <row r="30" spans="1:1" ht="12.75" hidden="1" customHeight="1">
      <c r="A30" s="19">
        <v>34150</v>
      </c>
    </row>
    <row r="31" spans="1:1" ht="12.75" hidden="1" customHeight="1">
      <c r="A31" s="19">
        <v>34515</v>
      </c>
    </row>
    <row r="32" spans="1:1" ht="12.75" hidden="1" customHeight="1">
      <c r="A32" s="19">
        <v>34880</v>
      </c>
    </row>
    <row r="33" spans="1:12" ht="12.75" hidden="1" customHeight="1">
      <c r="A33" s="19">
        <v>35246</v>
      </c>
    </row>
    <row r="34" spans="1:12" ht="12.75" customHeight="1">
      <c r="A34" s="19">
        <v>35611</v>
      </c>
      <c r="B34">
        <v>212017</v>
      </c>
      <c r="L34" s="211" t="s">
        <v>71</v>
      </c>
    </row>
    <row r="35" spans="1:12">
      <c r="A35" s="19">
        <v>35976</v>
      </c>
      <c r="B35">
        <v>188552</v>
      </c>
      <c r="L35" s="211"/>
    </row>
    <row r="36" spans="1:12">
      <c r="A36" s="19">
        <v>36341</v>
      </c>
      <c r="B36">
        <v>196350</v>
      </c>
      <c r="L36" s="211"/>
    </row>
    <row r="37" spans="1:12">
      <c r="A37" s="19">
        <v>36707</v>
      </c>
      <c r="B37">
        <v>212133</v>
      </c>
      <c r="L37" s="211"/>
    </row>
    <row r="38" spans="1:12">
      <c r="A38" s="19">
        <v>37072</v>
      </c>
      <c r="B38">
        <v>178376</v>
      </c>
      <c r="L38" s="211"/>
    </row>
    <row r="39" spans="1:12">
      <c r="A39" s="19">
        <v>37437</v>
      </c>
      <c r="B39">
        <v>196276</v>
      </c>
      <c r="L39" s="211"/>
    </row>
    <row r="40" spans="1:12">
      <c r="A40" s="19">
        <v>37802</v>
      </c>
      <c r="B40">
        <v>197024</v>
      </c>
      <c r="L40" s="211"/>
    </row>
    <row r="41" spans="1:12">
      <c r="A41" s="19">
        <v>38168</v>
      </c>
      <c r="B41">
        <v>194725</v>
      </c>
      <c r="L41" s="211"/>
    </row>
    <row r="42" spans="1:12">
      <c r="A42" s="19">
        <v>38533</v>
      </c>
      <c r="B42">
        <v>202509</v>
      </c>
      <c r="L42" s="211"/>
    </row>
    <row r="43" spans="1:12">
      <c r="A43" s="19">
        <v>38898</v>
      </c>
      <c r="B43" s="24">
        <v>182294</v>
      </c>
      <c r="C43" s="24"/>
      <c r="L43" s="211"/>
    </row>
    <row r="44" spans="1:12">
      <c r="A44" s="19">
        <v>39263</v>
      </c>
      <c r="B44" s="24">
        <v>201053</v>
      </c>
      <c r="C44" s="24">
        <f t="shared" ref="C44:C54" si="0">B44-$B$43</f>
        <v>18759</v>
      </c>
      <c r="D44" s="24">
        <f t="shared" ref="D44:D54" si="1">C44*1000000</f>
        <v>18759000000</v>
      </c>
      <c r="E44" s="25">
        <f t="shared" ref="E44:E54" si="2">D44/$C$63</f>
        <v>385195.07186858315</v>
      </c>
      <c r="F44" s="25">
        <f t="shared" ref="F44:F54" si="3">E44*$C$60</f>
        <v>9629.8767967145795</v>
      </c>
      <c r="G44" s="25">
        <f t="shared" ref="G44:G54" si="4">F44*$C$64</f>
        <v>9437.2792607802876</v>
      </c>
      <c r="H44" s="25">
        <f t="shared" ref="H44:H54" si="5">G44*$C$62</f>
        <v>264243.81930184807</v>
      </c>
      <c r="I44">
        <f t="shared" ref="I44:I54" si="6">H44/1000000</f>
        <v>0.26424381930184809</v>
      </c>
      <c r="J44">
        <f t="shared" ref="J44:J54" si="7">I44*$C$58</f>
        <v>0.22649470225872692</v>
      </c>
      <c r="K44">
        <f>J44+'PA Frack Wells'!$D$61</f>
        <v>0.2843874218871103</v>
      </c>
    </row>
    <row r="45" spans="1:12">
      <c r="A45" s="19">
        <v>39629</v>
      </c>
      <c r="B45" s="24">
        <v>196067</v>
      </c>
      <c r="C45" s="24">
        <f t="shared" si="0"/>
        <v>13773</v>
      </c>
      <c r="D45" s="24">
        <f t="shared" si="1"/>
        <v>13773000000</v>
      </c>
      <c r="E45" s="25">
        <f t="shared" si="2"/>
        <v>282813.14168377826</v>
      </c>
      <c r="F45" s="25">
        <f t="shared" si="3"/>
        <v>7070.3285420944567</v>
      </c>
      <c r="G45" s="25">
        <f t="shared" si="4"/>
        <v>6928.9219712525673</v>
      </c>
      <c r="H45" s="25">
        <f t="shared" si="5"/>
        <v>194009.81519507189</v>
      </c>
      <c r="I45">
        <f t="shared" si="6"/>
        <v>0.19400981519507188</v>
      </c>
      <c r="J45">
        <f t="shared" si="7"/>
        <v>0.1662941273100616</v>
      </c>
      <c r="K45">
        <f>J45+'PA Frack Wells'!$D$61</f>
        <v>0.22418684693844501</v>
      </c>
    </row>
    <row r="46" spans="1:12">
      <c r="A46" s="19">
        <v>39994</v>
      </c>
      <c r="B46" s="24">
        <v>196510</v>
      </c>
      <c r="C46" s="24">
        <f t="shared" si="0"/>
        <v>14216</v>
      </c>
      <c r="D46" s="24">
        <f t="shared" si="1"/>
        <v>14216000000</v>
      </c>
      <c r="E46" s="25">
        <f t="shared" si="2"/>
        <v>291909.65092402464</v>
      </c>
      <c r="F46" s="25">
        <f t="shared" si="3"/>
        <v>7297.7412731006161</v>
      </c>
      <c r="G46" s="25">
        <f t="shared" si="4"/>
        <v>7151.7864476386039</v>
      </c>
      <c r="H46" s="25">
        <f t="shared" si="5"/>
        <v>200250.02053388092</v>
      </c>
      <c r="I46">
        <f t="shared" si="6"/>
        <v>0.20025002053388091</v>
      </c>
      <c r="J46">
        <f t="shared" si="7"/>
        <v>0.17164287474332648</v>
      </c>
      <c r="K46">
        <f>J46+'PA Frack Wells'!$D$61</f>
        <v>0.22953559437170989</v>
      </c>
    </row>
    <row r="47" spans="1:12">
      <c r="A47" s="19">
        <v>40359</v>
      </c>
      <c r="B47" s="24">
        <v>212020</v>
      </c>
      <c r="C47" s="24">
        <f t="shared" si="0"/>
        <v>29726</v>
      </c>
      <c r="D47" s="24">
        <f t="shared" si="1"/>
        <v>29726000000</v>
      </c>
      <c r="E47" s="25">
        <f t="shared" si="2"/>
        <v>610390.14373716631</v>
      </c>
      <c r="F47" s="25">
        <f t="shared" si="3"/>
        <v>15259.753593429159</v>
      </c>
      <c r="G47" s="25">
        <f t="shared" si="4"/>
        <v>14954.558521560575</v>
      </c>
      <c r="H47" s="25">
        <f t="shared" si="5"/>
        <v>418727.63860369613</v>
      </c>
      <c r="I47">
        <f t="shared" si="6"/>
        <v>0.41872763860369611</v>
      </c>
      <c r="J47">
        <f t="shared" si="7"/>
        <v>0.35890940451745379</v>
      </c>
      <c r="K47">
        <f>J47+'PA Frack Wells'!$D$61</f>
        <v>0.41680212414583717</v>
      </c>
    </row>
    <row r="48" spans="1:12">
      <c r="A48" s="19">
        <v>40724</v>
      </c>
      <c r="B48" s="24">
        <v>193986</v>
      </c>
      <c r="C48" s="24">
        <f t="shared" si="0"/>
        <v>11692</v>
      </c>
      <c r="D48" s="24">
        <f t="shared" si="1"/>
        <v>11692000000</v>
      </c>
      <c r="E48" s="25">
        <f t="shared" si="2"/>
        <v>240082.13552361395</v>
      </c>
      <c r="F48" s="25">
        <f t="shared" si="3"/>
        <v>6002.0533880903495</v>
      </c>
      <c r="G48" s="25">
        <f t="shared" si="4"/>
        <v>5882.012320328542</v>
      </c>
      <c r="H48" s="25">
        <f t="shared" si="5"/>
        <v>164696.34496919918</v>
      </c>
      <c r="I48">
        <f t="shared" si="6"/>
        <v>0.16469634496919919</v>
      </c>
      <c r="J48">
        <f t="shared" si="7"/>
        <v>0.141168295687885</v>
      </c>
      <c r="K48">
        <f>J48+'PA Frack Wells'!$D$61</f>
        <v>0.19906101531626841</v>
      </c>
    </row>
    <row r="49" spans="1:13">
      <c r="A49" s="19">
        <v>41090</v>
      </c>
      <c r="B49" s="24">
        <v>208946</v>
      </c>
      <c r="C49" s="24">
        <f t="shared" si="0"/>
        <v>26652</v>
      </c>
      <c r="D49" s="24">
        <f t="shared" si="1"/>
        <v>26652000000</v>
      </c>
      <c r="E49" s="25">
        <f t="shared" si="2"/>
        <v>547268.99383983575</v>
      </c>
      <c r="F49" s="25">
        <f t="shared" si="3"/>
        <v>13681.724845995894</v>
      </c>
      <c r="G49" s="25">
        <f t="shared" si="4"/>
        <v>13408.090349075976</v>
      </c>
      <c r="H49" s="25">
        <f t="shared" si="5"/>
        <v>375426.5297741273</v>
      </c>
      <c r="I49">
        <f t="shared" si="6"/>
        <v>0.37542652977412727</v>
      </c>
      <c r="J49">
        <f t="shared" si="7"/>
        <v>0.32179416837782338</v>
      </c>
      <c r="K49">
        <f>J49+'PA Frack Wells'!$D$61</f>
        <v>0.37968688800620676</v>
      </c>
    </row>
    <row r="50" spans="1:13">
      <c r="A50" s="19">
        <v>41455</v>
      </c>
      <c r="B50" s="24">
        <v>197356</v>
      </c>
      <c r="C50" s="24">
        <f t="shared" si="0"/>
        <v>15062</v>
      </c>
      <c r="D50" s="24">
        <f t="shared" si="1"/>
        <v>15062000000</v>
      </c>
      <c r="E50" s="25">
        <f t="shared" si="2"/>
        <v>309281.31416837784</v>
      </c>
      <c r="F50" s="25">
        <f t="shared" si="3"/>
        <v>7732.0328542094467</v>
      </c>
      <c r="G50" s="25">
        <f t="shared" si="4"/>
        <v>7577.3921971252576</v>
      </c>
      <c r="H50" s="25">
        <f t="shared" si="5"/>
        <v>212166.98151950722</v>
      </c>
      <c r="I50">
        <f t="shared" si="6"/>
        <v>0.21216698151950722</v>
      </c>
      <c r="J50">
        <f t="shared" si="7"/>
        <v>0.18185741273100617</v>
      </c>
      <c r="K50">
        <f>J50+'PA Frack Wells'!$D$61</f>
        <v>0.23975013235938958</v>
      </c>
    </row>
    <row r="51" spans="1:13">
      <c r="A51" s="19">
        <v>41820</v>
      </c>
      <c r="B51" s="24">
        <v>207103</v>
      </c>
      <c r="C51" s="24">
        <f t="shared" si="0"/>
        <v>24809</v>
      </c>
      <c r="D51" s="24">
        <f t="shared" si="1"/>
        <v>24809000000</v>
      </c>
      <c r="E51" s="25">
        <f t="shared" si="2"/>
        <v>509425.05133470224</v>
      </c>
      <c r="F51" s="25">
        <f t="shared" si="3"/>
        <v>12735.626283367557</v>
      </c>
      <c r="G51" s="25">
        <f t="shared" si="4"/>
        <v>12480.913757700206</v>
      </c>
      <c r="H51" s="25">
        <f t="shared" si="5"/>
        <v>349465.58521560574</v>
      </c>
      <c r="I51">
        <f t="shared" si="6"/>
        <v>0.34946558521560572</v>
      </c>
      <c r="J51">
        <f t="shared" si="7"/>
        <v>0.29954193018480491</v>
      </c>
      <c r="K51">
        <f>J51+'PA Frack Wells'!$D$61</f>
        <v>0.35743464981318829</v>
      </c>
    </row>
    <row r="52" spans="1:13">
      <c r="A52" s="19">
        <v>42185</v>
      </c>
      <c r="B52" s="24">
        <v>215005</v>
      </c>
      <c r="C52" s="24">
        <f t="shared" si="0"/>
        <v>32711</v>
      </c>
      <c r="D52" s="24">
        <f t="shared" si="1"/>
        <v>32711000000</v>
      </c>
      <c r="E52" s="25">
        <f t="shared" si="2"/>
        <v>671683.77823408623</v>
      </c>
      <c r="F52" s="25">
        <f t="shared" si="3"/>
        <v>16792.094455852155</v>
      </c>
      <c r="G52" s="25">
        <f t="shared" si="4"/>
        <v>16456.252566735111</v>
      </c>
      <c r="H52" s="25">
        <f t="shared" si="5"/>
        <v>460775.07186858309</v>
      </c>
      <c r="I52">
        <f t="shared" si="6"/>
        <v>0.46077507186858307</v>
      </c>
      <c r="J52">
        <f t="shared" si="7"/>
        <v>0.39495006160164259</v>
      </c>
      <c r="K52">
        <f>J52+'PA Frack Wells'!$D$61</f>
        <v>0.45284278123002597</v>
      </c>
    </row>
    <row r="53" spans="1:13">
      <c r="A53" s="19">
        <v>42551</v>
      </c>
      <c r="B53" s="24">
        <v>219024</v>
      </c>
      <c r="C53" s="24">
        <f t="shared" si="0"/>
        <v>36730</v>
      </c>
      <c r="D53" s="24">
        <f t="shared" si="1"/>
        <v>36730000000</v>
      </c>
      <c r="E53" s="25">
        <f t="shared" si="2"/>
        <v>754209.44558521558</v>
      </c>
      <c r="F53" s="25">
        <f t="shared" si="3"/>
        <v>18855.23613963039</v>
      </c>
      <c r="G53" s="25">
        <f t="shared" si="4"/>
        <v>18478.131416837783</v>
      </c>
      <c r="H53" s="25">
        <f t="shared" si="5"/>
        <v>517387.67967145791</v>
      </c>
      <c r="I53">
        <f t="shared" si="6"/>
        <v>0.51738767967145793</v>
      </c>
      <c r="J53">
        <f t="shared" si="7"/>
        <v>0.44347515400410675</v>
      </c>
      <c r="K53">
        <f>J53+'PA Frack Wells'!$D$61</f>
        <v>0.50136787363249014</v>
      </c>
    </row>
    <row r="54" spans="1:13">
      <c r="A54" s="19">
        <v>42916</v>
      </c>
      <c r="B54" s="24">
        <v>222877</v>
      </c>
      <c r="C54" s="24">
        <f t="shared" si="0"/>
        <v>40583</v>
      </c>
      <c r="D54" s="24">
        <f t="shared" si="1"/>
        <v>40583000000</v>
      </c>
      <c r="E54" s="25">
        <f t="shared" si="2"/>
        <v>833326.48870636546</v>
      </c>
      <c r="F54" s="25">
        <f t="shared" si="3"/>
        <v>20833.162217659137</v>
      </c>
      <c r="G54" s="25">
        <f t="shared" si="4"/>
        <v>20416.498973305956</v>
      </c>
      <c r="H54" s="25">
        <f t="shared" si="5"/>
        <v>571661.97125256679</v>
      </c>
      <c r="I54">
        <f t="shared" si="6"/>
        <v>0.57166197125256679</v>
      </c>
      <c r="J54">
        <f t="shared" si="7"/>
        <v>0.48999597535934292</v>
      </c>
      <c r="K54">
        <f>J54+'PA Frack Wells'!$D$61</f>
        <v>0.5478886949877263</v>
      </c>
    </row>
    <row r="55" spans="1:13">
      <c r="B55" s="24"/>
    </row>
    <row r="57" spans="1:13" ht="15" thickBot="1">
      <c r="B57" s="26" t="s">
        <v>72</v>
      </c>
      <c r="C57" s="26" t="s">
        <v>73</v>
      </c>
      <c r="D57" s="26"/>
      <c r="E57" s="27"/>
      <c r="F57" s="27"/>
      <c r="G57" s="212" t="s">
        <v>49</v>
      </c>
      <c r="H57" s="212"/>
      <c r="I57" s="212"/>
      <c r="J57" s="212"/>
      <c r="K57" s="212"/>
      <c r="L57" s="212"/>
      <c r="M57" s="212"/>
    </row>
    <row r="58" spans="1:13">
      <c r="B58" s="20" t="s">
        <v>74</v>
      </c>
      <c r="C58" s="28">
        <f>6/7</f>
        <v>0.8571428571428571</v>
      </c>
      <c r="D58" s="29"/>
      <c r="E58" s="30"/>
      <c r="F58" s="30"/>
      <c r="G58" s="31" t="s">
        <v>75</v>
      </c>
      <c r="H58" s="32"/>
      <c r="I58" s="32"/>
      <c r="J58" s="32"/>
      <c r="K58" s="32"/>
      <c r="L58" s="32"/>
      <c r="M58" s="32"/>
    </row>
    <row r="59" spans="1:13" ht="12.75" customHeight="1">
      <c r="G59" s="213" t="s">
        <v>50</v>
      </c>
      <c r="H59" s="213"/>
      <c r="I59" s="213"/>
      <c r="J59" s="213"/>
      <c r="K59" s="213"/>
      <c r="L59" s="213"/>
      <c r="M59" s="213"/>
    </row>
    <row r="60" spans="1:13" ht="12.75" customHeight="1">
      <c r="B60" s="20" t="s">
        <v>51</v>
      </c>
      <c r="C60" s="20">
        <v>2.5000000000000001E-2</v>
      </c>
      <c r="G60" s="213" t="s">
        <v>52</v>
      </c>
      <c r="H60" s="213"/>
      <c r="I60" s="213"/>
      <c r="J60" s="213"/>
      <c r="K60" s="213"/>
      <c r="L60" s="213"/>
      <c r="M60" s="213"/>
    </row>
    <row r="61" spans="1:13">
      <c r="B61" s="20" t="s">
        <v>53</v>
      </c>
      <c r="C61" s="20">
        <v>26.3</v>
      </c>
    </row>
    <row r="62" spans="1:13">
      <c r="B62" s="20" t="s">
        <v>54</v>
      </c>
      <c r="C62" s="20">
        <v>28</v>
      </c>
      <c r="G62" t="s">
        <v>55</v>
      </c>
    </row>
    <row r="63" spans="1:13" ht="12.75" customHeight="1">
      <c r="B63" s="20" t="s">
        <v>56</v>
      </c>
      <c r="C63" s="21">
        <v>48700</v>
      </c>
      <c r="D63" t="s">
        <v>57</v>
      </c>
      <c r="G63" s="213" t="s">
        <v>58</v>
      </c>
      <c r="H63" s="213"/>
      <c r="I63" s="213"/>
      <c r="J63" s="213"/>
      <c r="K63" s="213"/>
      <c r="L63" s="213"/>
      <c r="M63" s="213"/>
    </row>
    <row r="64" spans="1:13" ht="12.75" customHeight="1">
      <c r="B64" s="20" t="s">
        <v>59</v>
      </c>
      <c r="C64" s="20">
        <v>0.98</v>
      </c>
      <c r="D64" s="3" t="s">
        <v>60</v>
      </c>
      <c r="G64" s="213"/>
      <c r="H64" s="213"/>
      <c r="I64" s="213"/>
      <c r="J64" s="213"/>
      <c r="K64" s="213"/>
      <c r="L64" s="213"/>
    </row>
    <row r="65" spans="2:9">
      <c r="D65" s="3" t="s">
        <v>76</v>
      </c>
      <c r="G65" s="12" t="s">
        <v>77</v>
      </c>
    </row>
    <row r="68" spans="2:9">
      <c r="G68" s="12"/>
    </row>
    <row r="70" spans="2:9" ht="72" customHeight="1">
      <c r="B70" s="209" t="s">
        <v>78</v>
      </c>
      <c r="C70" s="209"/>
      <c r="D70" s="209"/>
      <c r="E70" s="209"/>
      <c r="F70" s="209"/>
      <c r="G70" s="209"/>
      <c r="H70" s="209"/>
      <c r="I70" s="209"/>
    </row>
    <row r="71" spans="2:9">
      <c r="B71" s="12" t="s">
        <v>79</v>
      </c>
    </row>
    <row r="74" spans="2:9">
      <c r="B74" s="3" t="s">
        <v>80</v>
      </c>
    </row>
    <row r="75" spans="2:9">
      <c r="B75" s="12" t="s">
        <v>77</v>
      </c>
    </row>
  </sheetData>
  <sheetProtection algorithmName="SHA-512" hashValue="kNzogqqdNeXFhtRlc4TKcfU5CMcB64HpPMHa8gRfj87W91LURhjhLhYAgI5VgtVxTYEqE0qrwUbIi8/yeyQidA==" saltValue="N5F9i/GEBzmzPvd+MMMeVw==" spinCount="100000" sheet="1" objects="1" scenarios="1"/>
  <mergeCells count="7">
    <mergeCell ref="B70:I70"/>
    <mergeCell ref="L34:L43"/>
    <mergeCell ref="G57:M57"/>
    <mergeCell ref="G59:M59"/>
    <mergeCell ref="G60:M60"/>
    <mergeCell ref="G63:M63"/>
    <mergeCell ref="G64:L64"/>
  </mergeCells>
  <hyperlinks>
    <hyperlink ref="A1" location="Contents!A1" display="Back to Contents" xr:uid="{00000000-0004-0000-0200-000000000000}"/>
    <hyperlink ref="G60" r:id="rId1" xr:uid="{00000000-0004-0000-0200-000001000000}"/>
    <hyperlink ref="G63" r:id="rId2" xr:uid="{00000000-0004-0000-0200-000002000000}"/>
    <hyperlink ref="G65" r:id="rId3" xr:uid="{00000000-0004-0000-0200-000003000000}"/>
    <hyperlink ref="B71" r:id="rId4" xr:uid="{00000000-0004-0000-0200-000004000000}"/>
    <hyperlink ref="B75" r:id="rId5" xr:uid="{00000000-0004-0000-0200-000005000000}"/>
  </hyperlinks>
  <pageMargins left="0.70000000000000007" right="0.70000000000000007" top="1.1437000000000002" bottom="1.1437000000000002" header="0.75000000000000011" footer="0.75000000000000011"/>
  <pageSetup fitToWidth="0" fitToHeight="0" orientation="portrait" r:id="rId6"/>
  <headerFooter alignWithMargins="0"/>
  <legacyDrawing r:id="rId7"/>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75"/>
  <sheetViews>
    <sheetView topLeftCell="C37" workbookViewId="0">
      <selection activeCell="K54" sqref="K54"/>
    </sheetView>
  </sheetViews>
  <sheetFormatPr defaultRowHeight="14.25"/>
  <cols>
    <col min="1" max="1" width="14" customWidth="1"/>
    <col min="2" max="2" width="33.75" customWidth="1"/>
    <col min="3" max="3" width="9.875" customWidth="1"/>
    <col min="4" max="4" width="14.75" customWidth="1"/>
    <col min="5" max="5" width="10.5" customWidth="1"/>
    <col min="6" max="7" width="8.625" customWidth="1"/>
    <col min="8" max="8" width="11.25" customWidth="1"/>
    <col min="9" max="9" width="8" customWidth="1"/>
    <col min="10" max="10" width="10.875" customWidth="1"/>
    <col min="11" max="11" width="17.875" customWidth="1"/>
    <col min="12" max="12" width="25" customWidth="1"/>
    <col min="13" max="1024" width="8" customWidth="1"/>
  </cols>
  <sheetData>
    <row r="1" spans="1:11" ht="15.75">
      <c r="A1" s="23" t="s">
        <v>25</v>
      </c>
      <c r="B1" s="14" t="s">
        <v>26</v>
      </c>
    </row>
    <row r="2" spans="1:11">
      <c r="A2" s="15" t="s">
        <v>27</v>
      </c>
      <c r="B2" s="16" t="s">
        <v>28</v>
      </c>
    </row>
    <row r="3" spans="1:11" ht="51">
      <c r="A3" s="17" t="s">
        <v>38</v>
      </c>
      <c r="B3" s="18" t="s">
        <v>39</v>
      </c>
      <c r="C3" s="18" t="s">
        <v>62</v>
      </c>
      <c r="D3" s="17" t="s">
        <v>63</v>
      </c>
      <c r="E3" s="17" t="s">
        <v>64</v>
      </c>
      <c r="F3" s="17" t="s">
        <v>65</v>
      </c>
      <c r="G3" s="17" t="s">
        <v>66</v>
      </c>
      <c r="H3" s="17" t="s">
        <v>67</v>
      </c>
      <c r="I3" s="17" t="s">
        <v>68</v>
      </c>
      <c r="J3" s="17" t="s">
        <v>69</v>
      </c>
      <c r="K3" s="17" t="s">
        <v>70</v>
      </c>
    </row>
    <row r="4" spans="1:11" ht="12.75" hidden="1" customHeight="1">
      <c r="A4" s="19">
        <v>24653</v>
      </c>
    </row>
    <row r="5" spans="1:11" ht="12.75" hidden="1" customHeight="1">
      <c r="A5" s="19">
        <v>25019</v>
      </c>
    </row>
    <row r="6" spans="1:11" ht="12.75" hidden="1" customHeight="1">
      <c r="A6" s="19">
        <v>25384</v>
      </c>
    </row>
    <row r="7" spans="1:11" ht="12.75" hidden="1" customHeight="1">
      <c r="A7" s="19">
        <v>25749</v>
      </c>
    </row>
    <row r="8" spans="1:11" ht="12.75" hidden="1" customHeight="1">
      <c r="A8" s="19">
        <v>26114</v>
      </c>
    </row>
    <row r="9" spans="1:11" ht="12.75" hidden="1" customHeight="1">
      <c r="A9" s="19">
        <v>26480</v>
      </c>
    </row>
    <row r="10" spans="1:11" ht="12.75" hidden="1" customHeight="1">
      <c r="A10" s="19">
        <v>26845</v>
      </c>
    </row>
    <row r="11" spans="1:11" ht="12.75" hidden="1" customHeight="1">
      <c r="A11" s="19">
        <v>27210</v>
      </c>
    </row>
    <row r="12" spans="1:11" ht="12.75" hidden="1" customHeight="1">
      <c r="A12" s="19">
        <v>27575</v>
      </c>
    </row>
    <row r="13" spans="1:11" ht="12.75" hidden="1" customHeight="1">
      <c r="A13" s="19">
        <v>27941</v>
      </c>
    </row>
    <row r="14" spans="1:11" ht="12.75" hidden="1" customHeight="1">
      <c r="A14" s="19">
        <v>28306</v>
      </c>
    </row>
    <row r="15" spans="1:11" ht="12.75" hidden="1" customHeight="1">
      <c r="A15" s="19">
        <v>28671</v>
      </c>
    </row>
    <row r="16" spans="1:11" ht="12.75" hidden="1" customHeight="1">
      <c r="A16" s="19">
        <v>29036</v>
      </c>
    </row>
    <row r="17" spans="1:1" ht="12.75" hidden="1" customHeight="1">
      <c r="A17" s="19">
        <v>29402</v>
      </c>
    </row>
    <row r="18" spans="1:1" ht="12.75" hidden="1" customHeight="1">
      <c r="A18" s="19">
        <v>29767</v>
      </c>
    </row>
    <row r="19" spans="1:1" ht="12.75" hidden="1" customHeight="1">
      <c r="A19" s="19">
        <v>30132</v>
      </c>
    </row>
    <row r="20" spans="1:1" ht="12.75" hidden="1" customHeight="1">
      <c r="A20" s="19">
        <v>30497</v>
      </c>
    </row>
    <row r="21" spans="1:1" ht="12.75" hidden="1" customHeight="1">
      <c r="A21" s="19">
        <v>30863</v>
      </c>
    </row>
    <row r="22" spans="1:1" ht="12.75" hidden="1" customHeight="1">
      <c r="A22" s="19">
        <v>31228</v>
      </c>
    </row>
    <row r="23" spans="1:1" ht="12.75" hidden="1" customHeight="1">
      <c r="A23" s="19">
        <v>31593</v>
      </c>
    </row>
    <row r="24" spans="1:1" ht="12.75" hidden="1" customHeight="1">
      <c r="A24" s="19">
        <v>31958</v>
      </c>
    </row>
    <row r="25" spans="1:1" ht="12.75" hidden="1" customHeight="1">
      <c r="A25" s="19">
        <v>32324</v>
      </c>
    </row>
    <row r="26" spans="1:1" ht="12.75" hidden="1" customHeight="1">
      <c r="A26" s="19">
        <v>32689</v>
      </c>
    </row>
    <row r="27" spans="1:1" ht="12.75" hidden="1" customHeight="1">
      <c r="A27" s="19">
        <v>33054</v>
      </c>
    </row>
    <row r="28" spans="1:1" ht="12.75" hidden="1" customHeight="1">
      <c r="A28" s="19">
        <v>33419</v>
      </c>
    </row>
    <row r="29" spans="1:1" ht="12.75" hidden="1" customHeight="1">
      <c r="A29" s="19">
        <v>33785</v>
      </c>
    </row>
    <row r="30" spans="1:1" ht="12.75" hidden="1" customHeight="1">
      <c r="A30" s="19">
        <v>34150</v>
      </c>
    </row>
    <row r="31" spans="1:1" ht="12.75" hidden="1" customHeight="1">
      <c r="A31" s="19">
        <v>34515</v>
      </c>
    </row>
    <row r="32" spans="1:1" ht="12.75" hidden="1" customHeight="1">
      <c r="A32" s="19">
        <v>34880</v>
      </c>
    </row>
    <row r="33" spans="1:12" ht="12.75" hidden="1" customHeight="1">
      <c r="A33" s="19">
        <v>35246</v>
      </c>
    </row>
    <row r="34" spans="1:12" ht="12.75" customHeight="1">
      <c r="A34" s="19">
        <v>35611</v>
      </c>
      <c r="B34">
        <v>212017</v>
      </c>
      <c r="L34" s="211" t="s">
        <v>71</v>
      </c>
    </row>
    <row r="35" spans="1:12">
      <c r="A35" s="19">
        <v>35976</v>
      </c>
      <c r="B35">
        <v>188552</v>
      </c>
      <c r="L35" s="211"/>
    </row>
    <row r="36" spans="1:12">
      <c r="A36" s="19">
        <v>36341</v>
      </c>
      <c r="B36">
        <v>196350</v>
      </c>
      <c r="L36" s="211"/>
    </row>
    <row r="37" spans="1:12">
      <c r="A37" s="19">
        <v>36707</v>
      </c>
      <c r="B37">
        <v>212133</v>
      </c>
      <c r="L37" s="211"/>
    </row>
    <row r="38" spans="1:12">
      <c r="A38" s="19">
        <v>37072</v>
      </c>
      <c r="B38">
        <v>178376</v>
      </c>
      <c r="L38" s="211"/>
    </row>
    <row r="39" spans="1:12">
      <c r="A39" s="19">
        <v>37437</v>
      </c>
      <c r="B39">
        <v>196276</v>
      </c>
      <c r="L39" s="211"/>
    </row>
    <row r="40" spans="1:12">
      <c r="A40" s="19">
        <v>37802</v>
      </c>
      <c r="B40">
        <v>197024</v>
      </c>
      <c r="L40" s="211"/>
    </row>
    <row r="41" spans="1:12">
      <c r="A41" s="19">
        <v>38168</v>
      </c>
      <c r="B41">
        <v>194725</v>
      </c>
      <c r="L41" s="211"/>
    </row>
    <row r="42" spans="1:12">
      <c r="A42" s="19">
        <v>38533</v>
      </c>
      <c r="B42">
        <v>202509</v>
      </c>
      <c r="L42" s="211"/>
    </row>
    <row r="43" spans="1:12">
      <c r="A43" s="19">
        <v>38898</v>
      </c>
      <c r="B43" s="24">
        <v>182294</v>
      </c>
      <c r="C43" s="24"/>
      <c r="L43" s="211"/>
    </row>
    <row r="44" spans="1:12">
      <c r="A44" s="19">
        <v>39263</v>
      </c>
      <c r="B44" s="24">
        <v>201053</v>
      </c>
      <c r="C44" s="24">
        <f t="shared" ref="C44:C54" si="0">B44-$B$43</f>
        <v>18759</v>
      </c>
      <c r="D44" s="24">
        <f t="shared" ref="D44:D54" si="1">C44*1000000</f>
        <v>18759000000</v>
      </c>
      <c r="E44" s="25">
        <f t="shared" ref="E44:E54" si="2">D44/$C$63</f>
        <v>385195.07186858315</v>
      </c>
      <c r="F44" s="25">
        <f t="shared" ref="F44:F54" si="3">E44*$C$60</f>
        <v>9629.8767967145795</v>
      </c>
      <c r="G44" s="25">
        <f t="shared" ref="G44:G54" si="4">F44*$C$64</f>
        <v>9437.2792607802876</v>
      </c>
      <c r="H44" s="25">
        <f t="shared" ref="H44:H54" si="5">G44*$C$62</f>
        <v>792731.4579055442</v>
      </c>
      <c r="I44">
        <f t="shared" ref="I44:I54" si="6">H44/1000000</f>
        <v>0.79273145790554422</v>
      </c>
      <c r="J44">
        <f t="shared" ref="J44:J54" si="7">I44*$C$58</f>
        <v>0.67948410677618076</v>
      </c>
      <c r="K44">
        <f>J44+'PA Frack Wells (84)'!$D$61</f>
        <v>0.74135128771444225</v>
      </c>
    </row>
    <row r="45" spans="1:12">
      <c r="A45" s="19">
        <v>39629</v>
      </c>
      <c r="B45" s="24">
        <v>196067</v>
      </c>
      <c r="C45" s="24">
        <f t="shared" si="0"/>
        <v>13773</v>
      </c>
      <c r="D45" s="24">
        <f t="shared" si="1"/>
        <v>13773000000</v>
      </c>
      <c r="E45" s="25">
        <f t="shared" si="2"/>
        <v>282813.14168377826</v>
      </c>
      <c r="F45" s="25">
        <f t="shared" si="3"/>
        <v>7070.3285420944567</v>
      </c>
      <c r="G45" s="25">
        <f t="shared" si="4"/>
        <v>6928.9219712525673</v>
      </c>
      <c r="H45" s="25">
        <f t="shared" si="5"/>
        <v>582029.4455852157</v>
      </c>
      <c r="I45">
        <f t="shared" si="6"/>
        <v>0.58202944558521574</v>
      </c>
      <c r="J45">
        <f t="shared" si="7"/>
        <v>0.49888238193018491</v>
      </c>
      <c r="K45">
        <f>J45+'PA Frack Wells (84)'!$D$61</f>
        <v>0.56074956286844646</v>
      </c>
    </row>
    <row r="46" spans="1:12">
      <c r="A46" s="19">
        <v>39994</v>
      </c>
      <c r="B46" s="24">
        <v>196510</v>
      </c>
      <c r="C46" s="24">
        <f t="shared" si="0"/>
        <v>14216</v>
      </c>
      <c r="D46" s="24">
        <f t="shared" si="1"/>
        <v>14216000000</v>
      </c>
      <c r="E46" s="25">
        <f t="shared" si="2"/>
        <v>291909.65092402464</v>
      </c>
      <c r="F46" s="25">
        <f t="shared" si="3"/>
        <v>7297.7412731006161</v>
      </c>
      <c r="G46" s="25">
        <f t="shared" si="4"/>
        <v>7151.7864476386039</v>
      </c>
      <c r="H46" s="25">
        <f t="shared" si="5"/>
        <v>600750.06160164275</v>
      </c>
      <c r="I46">
        <f t="shared" si="6"/>
        <v>0.60075006160164279</v>
      </c>
      <c r="J46">
        <f t="shared" si="7"/>
        <v>0.51492862422997954</v>
      </c>
      <c r="K46">
        <f>J46+'PA Frack Wells (84)'!$D$61</f>
        <v>0.57679580516824103</v>
      </c>
    </row>
    <row r="47" spans="1:12">
      <c r="A47" s="19">
        <v>40359</v>
      </c>
      <c r="B47" s="24">
        <v>212020</v>
      </c>
      <c r="C47" s="24">
        <f t="shared" si="0"/>
        <v>29726</v>
      </c>
      <c r="D47" s="24">
        <f t="shared" si="1"/>
        <v>29726000000</v>
      </c>
      <c r="E47" s="25">
        <f t="shared" si="2"/>
        <v>610390.14373716631</v>
      </c>
      <c r="F47" s="25">
        <f t="shared" si="3"/>
        <v>15259.753593429159</v>
      </c>
      <c r="G47" s="25">
        <f t="shared" si="4"/>
        <v>14954.558521560575</v>
      </c>
      <c r="H47" s="25">
        <f t="shared" si="5"/>
        <v>1256182.9158110884</v>
      </c>
      <c r="I47">
        <f t="shared" si="6"/>
        <v>1.2561829158110884</v>
      </c>
      <c r="J47">
        <f t="shared" si="7"/>
        <v>1.0767282135523615</v>
      </c>
      <c r="K47">
        <f>J47+'PA Frack Wells (84)'!$D$61</f>
        <v>1.1385953944906231</v>
      </c>
    </row>
    <row r="48" spans="1:12">
      <c r="A48" s="19">
        <v>40724</v>
      </c>
      <c r="B48" s="24">
        <v>193986</v>
      </c>
      <c r="C48" s="24">
        <f t="shared" si="0"/>
        <v>11692</v>
      </c>
      <c r="D48" s="24">
        <f t="shared" si="1"/>
        <v>11692000000</v>
      </c>
      <c r="E48" s="25">
        <f t="shared" si="2"/>
        <v>240082.13552361395</v>
      </c>
      <c r="F48" s="25">
        <f t="shared" si="3"/>
        <v>6002.0533880903495</v>
      </c>
      <c r="G48" s="25">
        <f t="shared" si="4"/>
        <v>5882.012320328542</v>
      </c>
      <c r="H48" s="25">
        <f t="shared" si="5"/>
        <v>494089.03490759752</v>
      </c>
      <c r="I48">
        <f t="shared" si="6"/>
        <v>0.49408903490759754</v>
      </c>
      <c r="J48">
        <f t="shared" si="7"/>
        <v>0.42350488706365502</v>
      </c>
      <c r="K48">
        <f>J48+'PA Frack Wells (84)'!$D$61</f>
        <v>0.48537206800191657</v>
      </c>
    </row>
    <row r="49" spans="1:13">
      <c r="A49" s="19">
        <v>41090</v>
      </c>
      <c r="B49" s="24">
        <v>208946</v>
      </c>
      <c r="C49" s="24">
        <f t="shared" si="0"/>
        <v>26652</v>
      </c>
      <c r="D49" s="24">
        <f t="shared" si="1"/>
        <v>26652000000</v>
      </c>
      <c r="E49" s="25">
        <f t="shared" si="2"/>
        <v>547268.99383983575</v>
      </c>
      <c r="F49" s="25">
        <f t="shared" si="3"/>
        <v>13681.724845995894</v>
      </c>
      <c r="G49" s="25">
        <f t="shared" si="4"/>
        <v>13408.090349075976</v>
      </c>
      <c r="H49" s="25">
        <f t="shared" si="5"/>
        <v>1126279.5893223819</v>
      </c>
      <c r="I49">
        <f t="shared" si="6"/>
        <v>1.1262795893223818</v>
      </c>
      <c r="J49">
        <f t="shared" si="7"/>
        <v>0.96538250513347013</v>
      </c>
      <c r="K49">
        <f>J49+'PA Frack Wells (84)'!$D$61</f>
        <v>1.0272496860717317</v>
      </c>
    </row>
    <row r="50" spans="1:13">
      <c r="A50" s="19">
        <v>41455</v>
      </c>
      <c r="B50" s="24">
        <v>197356</v>
      </c>
      <c r="C50" s="24">
        <f t="shared" si="0"/>
        <v>15062</v>
      </c>
      <c r="D50" s="24">
        <f t="shared" si="1"/>
        <v>15062000000</v>
      </c>
      <c r="E50" s="25">
        <f t="shared" si="2"/>
        <v>309281.31416837784</v>
      </c>
      <c r="F50" s="25">
        <f t="shared" si="3"/>
        <v>7732.0328542094467</v>
      </c>
      <c r="G50" s="25">
        <f t="shared" si="4"/>
        <v>7577.3921971252576</v>
      </c>
      <c r="H50" s="25">
        <f t="shared" si="5"/>
        <v>636500.94455852162</v>
      </c>
      <c r="I50">
        <f t="shared" si="6"/>
        <v>0.63650094455852158</v>
      </c>
      <c r="J50">
        <f t="shared" si="7"/>
        <v>0.54557223819301848</v>
      </c>
      <c r="K50">
        <f>J50+'PA Frack Wells (84)'!$D$61</f>
        <v>0.60743941913127997</v>
      </c>
    </row>
    <row r="51" spans="1:13">
      <c r="A51" s="19">
        <v>41820</v>
      </c>
      <c r="B51" s="24">
        <v>207103</v>
      </c>
      <c r="C51" s="24">
        <f t="shared" si="0"/>
        <v>24809</v>
      </c>
      <c r="D51" s="24">
        <f t="shared" si="1"/>
        <v>24809000000</v>
      </c>
      <c r="E51" s="25">
        <f t="shared" si="2"/>
        <v>509425.05133470224</v>
      </c>
      <c r="F51" s="25">
        <f t="shared" si="3"/>
        <v>12735.626283367557</v>
      </c>
      <c r="G51" s="25">
        <f t="shared" si="4"/>
        <v>12480.913757700206</v>
      </c>
      <c r="H51" s="25">
        <f t="shared" si="5"/>
        <v>1048396.7556468173</v>
      </c>
      <c r="I51">
        <f t="shared" si="6"/>
        <v>1.0483967556468172</v>
      </c>
      <c r="J51">
        <f t="shared" si="7"/>
        <v>0.89862579055441472</v>
      </c>
      <c r="K51">
        <f>J51+'PA Frack Wells (84)'!$D$61</f>
        <v>0.96049297149267621</v>
      </c>
    </row>
    <row r="52" spans="1:13">
      <c r="A52" s="19">
        <v>42185</v>
      </c>
      <c r="B52" s="24">
        <v>215005</v>
      </c>
      <c r="C52" s="24">
        <f t="shared" si="0"/>
        <v>32711</v>
      </c>
      <c r="D52" s="24">
        <f t="shared" si="1"/>
        <v>32711000000</v>
      </c>
      <c r="E52" s="25">
        <f t="shared" si="2"/>
        <v>671683.77823408623</v>
      </c>
      <c r="F52" s="25">
        <f t="shared" si="3"/>
        <v>16792.094455852155</v>
      </c>
      <c r="G52" s="25">
        <f t="shared" si="4"/>
        <v>16456.252566735111</v>
      </c>
      <c r="H52" s="25">
        <f t="shared" si="5"/>
        <v>1382325.2156057493</v>
      </c>
      <c r="I52">
        <f t="shared" si="6"/>
        <v>1.3823252156057493</v>
      </c>
      <c r="J52">
        <f t="shared" si="7"/>
        <v>1.184850184804928</v>
      </c>
      <c r="K52">
        <f>J52+'PA Frack Wells (84)'!$D$61</f>
        <v>1.2467173657431896</v>
      </c>
    </row>
    <row r="53" spans="1:13">
      <c r="A53" s="19">
        <v>42551</v>
      </c>
      <c r="B53" s="24">
        <v>219024</v>
      </c>
      <c r="C53" s="24">
        <f t="shared" si="0"/>
        <v>36730</v>
      </c>
      <c r="D53" s="24">
        <f t="shared" si="1"/>
        <v>36730000000</v>
      </c>
      <c r="E53" s="25">
        <f t="shared" si="2"/>
        <v>754209.44558521558</v>
      </c>
      <c r="F53" s="25">
        <f t="shared" si="3"/>
        <v>18855.23613963039</v>
      </c>
      <c r="G53" s="25">
        <f t="shared" si="4"/>
        <v>18478.131416837783</v>
      </c>
      <c r="H53" s="25">
        <f t="shared" si="5"/>
        <v>1552163.0390143737</v>
      </c>
      <c r="I53">
        <f t="shared" si="6"/>
        <v>1.5521630390143737</v>
      </c>
      <c r="J53">
        <f t="shared" si="7"/>
        <v>1.3304254620123201</v>
      </c>
      <c r="K53">
        <f>J53+'PA Frack Wells (84)'!$D$61</f>
        <v>1.3922926429505817</v>
      </c>
    </row>
    <row r="54" spans="1:13">
      <c r="A54" s="19">
        <v>42916</v>
      </c>
      <c r="B54" s="24">
        <v>222877</v>
      </c>
      <c r="C54" s="24">
        <f t="shared" si="0"/>
        <v>40583</v>
      </c>
      <c r="D54" s="24">
        <f t="shared" si="1"/>
        <v>40583000000</v>
      </c>
      <c r="E54" s="25">
        <f t="shared" si="2"/>
        <v>833326.48870636546</v>
      </c>
      <c r="F54" s="25">
        <f t="shared" si="3"/>
        <v>20833.162217659137</v>
      </c>
      <c r="G54" s="25">
        <f t="shared" si="4"/>
        <v>20416.498973305956</v>
      </c>
      <c r="H54" s="25">
        <f t="shared" si="5"/>
        <v>1714985.9137577002</v>
      </c>
      <c r="I54">
        <f t="shared" si="6"/>
        <v>1.7149859137577002</v>
      </c>
      <c r="J54">
        <f t="shared" si="7"/>
        <v>1.4699879260780286</v>
      </c>
      <c r="K54">
        <f>J54+'PA Frack Wells (84)'!$D$61</f>
        <v>1.5318551070162902</v>
      </c>
    </row>
    <row r="55" spans="1:13">
      <c r="B55" s="24"/>
    </row>
    <row r="57" spans="1:13" ht="15" thickBot="1">
      <c r="B57" s="26" t="s">
        <v>72</v>
      </c>
      <c r="C57" s="26" t="s">
        <v>73</v>
      </c>
      <c r="D57" s="26"/>
      <c r="E57" s="27"/>
      <c r="F57" s="27"/>
      <c r="G57" s="212" t="s">
        <v>49</v>
      </c>
      <c r="H57" s="212"/>
      <c r="I57" s="212"/>
      <c r="J57" s="212"/>
      <c r="K57" s="212"/>
      <c r="L57" s="212"/>
      <c r="M57" s="212"/>
    </row>
    <row r="58" spans="1:13">
      <c r="B58" s="20" t="s">
        <v>74</v>
      </c>
      <c r="C58" s="28">
        <f>6/7</f>
        <v>0.8571428571428571</v>
      </c>
      <c r="D58" s="29"/>
      <c r="E58" s="30"/>
      <c r="F58" s="30"/>
      <c r="G58" s="31" t="s">
        <v>75</v>
      </c>
      <c r="H58" s="32"/>
      <c r="I58" s="32"/>
      <c r="J58" s="32"/>
      <c r="K58" s="32"/>
      <c r="L58" s="32"/>
      <c r="M58" s="32"/>
    </row>
    <row r="59" spans="1:13" ht="12.75" customHeight="1">
      <c r="G59" s="213" t="s">
        <v>50</v>
      </c>
      <c r="H59" s="213"/>
      <c r="I59" s="213"/>
      <c r="J59" s="213"/>
      <c r="K59" s="213"/>
      <c r="L59" s="213"/>
      <c r="M59" s="213"/>
    </row>
    <row r="60" spans="1:13" ht="12.75" customHeight="1">
      <c r="B60" s="20" t="s">
        <v>51</v>
      </c>
      <c r="C60" s="20">
        <v>2.5000000000000001E-2</v>
      </c>
      <c r="G60" s="213" t="s">
        <v>52</v>
      </c>
      <c r="H60" s="213"/>
      <c r="I60" s="213"/>
      <c r="J60" s="213"/>
      <c r="K60" s="213"/>
      <c r="L60" s="213"/>
      <c r="M60" s="213"/>
    </row>
    <row r="61" spans="1:13">
      <c r="B61" s="20" t="s">
        <v>53</v>
      </c>
      <c r="C61" s="20">
        <v>26.3</v>
      </c>
    </row>
    <row r="62" spans="1:13">
      <c r="B62" s="20" t="s">
        <v>54</v>
      </c>
      <c r="C62" s="20">
        <v>84</v>
      </c>
      <c r="G62" s="12" t="s">
        <v>81</v>
      </c>
    </row>
    <row r="63" spans="1:13" ht="12.75" customHeight="1">
      <c r="B63" s="20" t="s">
        <v>56</v>
      </c>
      <c r="C63" s="21">
        <v>48700</v>
      </c>
      <c r="D63" t="s">
        <v>57</v>
      </c>
      <c r="G63" s="213" t="s">
        <v>58</v>
      </c>
      <c r="H63" s="213"/>
      <c r="I63" s="213"/>
      <c r="J63" s="213"/>
      <c r="K63" s="213"/>
      <c r="L63" s="213"/>
      <c r="M63" s="213"/>
    </row>
    <row r="64" spans="1:13" ht="12.75" customHeight="1">
      <c r="B64" s="20" t="s">
        <v>59</v>
      </c>
      <c r="C64" s="20">
        <v>0.98</v>
      </c>
      <c r="D64" s="3" t="s">
        <v>60</v>
      </c>
      <c r="G64" s="213"/>
      <c r="H64" s="213"/>
      <c r="I64" s="213"/>
      <c r="J64" s="213"/>
      <c r="K64" s="213"/>
      <c r="L64" s="213"/>
    </row>
    <row r="65" spans="2:9">
      <c r="D65" s="3" t="s">
        <v>76</v>
      </c>
      <c r="G65" s="12" t="s">
        <v>77</v>
      </c>
    </row>
    <row r="68" spans="2:9">
      <c r="G68" s="12"/>
    </row>
    <row r="70" spans="2:9" ht="72" customHeight="1">
      <c r="B70" s="209" t="s">
        <v>78</v>
      </c>
      <c r="C70" s="209"/>
      <c r="D70" s="209"/>
      <c r="E70" s="209"/>
      <c r="F70" s="209"/>
      <c r="G70" s="209"/>
      <c r="H70" s="209"/>
      <c r="I70" s="209"/>
    </row>
    <row r="71" spans="2:9">
      <c r="B71" s="12" t="s">
        <v>79</v>
      </c>
    </row>
    <row r="74" spans="2:9">
      <c r="B74" s="3" t="s">
        <v>80</v>
      </c>
    </row>
    <row r="75" spans="2:9">
      <c r="B75" s="12" t="s">
        <v>77</v>
      </c>
    </row>
  </sheetData>
  <sheetProtection algorithmName="SHA-512" hashValue="wCfy9xdYhfrTv9jtbZHnqNf+SjsgmUGD+qMd2xHciU/OWHewXfHXEW8Nf+5cnkNfTmbKlQ4p1gDq2Ql+kZRDNw==" saltValue="QeI0dBWRd+VlkO9Bk7m75A==" spinCount="100000" sheet="1" objects="1" scenarios="1"/>
  <mergeCells count="7">
    <mergeCell ref="B70:I70"/>
    <mergeCell ref="L34:L43"/>
    <mergeCell ref="G57:M57"/>
    <mergeCell ref="G59:M59"/>
    <mergeCell ref="G60:M60"/>
    <mergeCell ref="G63:M63"/>
    <mergeCell ref="G64:L64"/>
  </mergeCells>
  <hyperlinks>
    <hyperlink ref="A1" location="Contents!A1" display="Back to Contents" xr:uid="{00000000-0004-0000-0300-000000000000}"/>
    <hyperlink ref="G60" r:id="rId1" xr:uid="{00000000-0004-0000-0300-000001000000}"/>
    <hyperlink ref="G62" r:id="rId2" xr:uid="{00000000-0004-0000-0300-000002000000}"/>
    <hyperlink ref="G63" r:id="rId3" xr:uid="{00000000-0004-0000-0300-000003000000}"/>
    <hyperlink ref="G65" r:id="rId4" xr:uid="{00000000-0004-0000-0300-000004000000}"/>
    <hyperlink ref="B71" r:id="rId5" xr:uid="{00000000-0004-0000-0300-000005000000}"/>
    <hyperlink ref="B75" r:id="rId6" xr:uid="{00000000-0004-0000-0300-000006000000}"/>
  </hyperlinks>
  <pageMargins left="0.70000000000000007" right="0.70000000000000007" top="1.1437000000000002" bottom="1.1437000000000002" header="0.75000000000000011" footer="0.75000000000000011"/>
  <pageSetup paperSize="0" fitToWidth="0" fitToHeight="0" orientation="portrait" horizontalDpi="0" verticalDpi="0" copies="0"/>
  <headerFooter alignWithMargins="0"/>
  <legacyDrawing r:id="rId7"/>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75"/>
  <sheetViews>
    <sheetView topLeftCell="A40" workbookViewId="0">
      <selection activeCell="G64" sqref="G64:K64"/>
    </sheetView>
  </sheetViews>
  <sheetFormatPr defaultRowHeight="14.25"/>
  <cols>
    <col min="1" max="1" width="14" customWidth="1"/>
    <col min="2" max="2" width="33.75" customWidth="1"/>
    <col min="3" max="3" width="9.875" customWidth="1"/>
    <col min="4" max="4" width="14.125" customWidth="1"/>
    <col min="5" max="5" width="10.5" customWidth="1"/>
    <col min="6" max="6" width="9.625" customWidth="1"/>
    <col min="7" max="7" width="9.25" customWidth="1"/>
    <col min="8" max="8" width="10.5" customWidth="1"/>
    <col min="9" max="10" width="8" customWidth="1"/>
    <col min="11" max="11" width="17.875" customWidth="1"/>
    <col min="12" max="12" width="25" customWidth="1"/>
    <col min="13" max="1024" width="8" customWidth="1"/>
  </cols>
  <sheetData>
    <row r="1" spans="1:11" ht="15.75">
      <c r="A1" s="23" t="s">
        <v>25</v>
      </c>
      <c r="B1" s="14" t="s">
        <v>26</v>
      </c>
    </row>
    <row r="2" spans="1:11">
      <c r="A2" s="15" t="s">
        <v>27</v>
      </c>
      <c r="B2" s="16" t="s">
        <v>28</v>
      </c>
    </row>
    <row r="3" spans="1:11" ht="51">
      <c r="A3" s="17" t="s">
        <v>38</v>
      </c>
      <c r="B3" s="18" t="s">
        <v>39</v>
      </c>
      <c r="C3" s="18" t="s">
        <v>62</v>
      </c>
      <c r="D3" s="17" t="s">
        <v>63</v>
      </c>
      <c r="E3" s="17" t="s">
        <v>64</v>
      </c>
      <c r="F3" s="17" t="s">
        <v>65</v>
      </c>
      <c r="G3" s="17" t="s">
        <v>66</v>
      </c>
      <c r="H3" s="17" t="s">
        <v>67</v>
      </c>
      <c r="I3" s="17" t="s">
        <v>68</v>
      </c>
      <c r="J3" s="17" t="s">
        <v>69</v>
      </c>
      <c r="K3" s="17" t="s">
        <v>70</v>
      </c>
    </row>
    <row r="4" spans="1:11" ht="12.75" hidden="1" customHeight="1">
      <c r="A4" s="19">
        <v>24653</v>
      </c>
    </row>
    <row r="5" spans="1:11" ht="12.75" hidden="1" customHeight="1">
      <c r="A5" s="19">
        <v>25019</v>
      </c>
    </row>
    <row r="6" spans="1:11" ht="12.75" hidden="1" customHeight="1">
      <c r="A6" s="19">
        <v>25384</v>
      </c>
    </row>
    <row r="7" spans="1:11" ht="12.75" hidden="1" customHeight="1">
      <c r="A7" s="19">
        <v>25749</v>
      </c>
    </row>
    <row r="8" spans="1:11" ht="12.75" hidden="1" customHeight="1">
      <c r="A8" s="19">
        <v>26114</v>
      </c>
    </row>
    <row r="9" spans="1:11" ht="12.75" hidden="1" customHeight="1">
      <c r="A9" s="19">
        <v>26480</v>
      </c>
    </row>
    <row r="10" spans="1:11" ht="12.75" hidden="1" customHeight="1">
      <c r="A10" s="19">
        <v>26845</v>
      </c>
    </row>
    <row r="11" spans="1:11" ht="12.75" hidden="1" customHeight="1">
      <c r="A11" s="19">
        <v>27210</v>
      </c>
    </row>
    <row r="12" spans="1:11" ht="12.75" hidden="1" customHeight="1">
      <c r="A12" s="19">
        <v>27575</v>
      </c>
    </row>
    <row r="13" spans="1:11" ht="12.75" hidden="1" customHeight="1">
      <c r="A13" s="19">
        <v>27941</v>
      </c>
    </row>
    <row r="14" spans="1:11" ht="12.75" hidden="1" customHeight="1">
      <c r="A14" s="19">
        <v>28306</v>
      </c>
    </row>
    <row r="15" spans="1:11" ht="12.75" hidden="1" customHeight="1">
      <c r="A15" s="19">
        <v>28671</v>
      </c>
    </row>
    <row r="16" spans="1:11" ht="12.75" hidden="1" customHeight="1">
      <c r="A16" s="19">
        <v>29036</v>
      </c>
    </row>
    <row r="17" spans="1:1" ht="12.75" hidden="1" customHeight="1">
      <c r="A17" s="19">
        <v>29402</v>
      </c>
    </row>
    <row r="18" spans="1:1" ht="12.75" hidden="1" customHeight="1">
      <c r="A18" s="19">
        <v>29767</v>
      </c>
    </row>
    <row r="19" spans="1:1" ht="12.75" hidden="1" customHeight="1">
      <c r="A19" s="19">
        <v>30132</v>
      </c>
    </row>
    <row r="20" spans="1:1" ht="12.75" hidden="1" customHeight="1">
      <c r="A20" s="19">
        <v>30497</v>
      </c>
    </row>
    <row r="21" spans="1:1" ht="12.75" hidden="1" customHeight="1">
      <c r="A21" s="19">
        <v>30863</v>
      </c>
    </row>
    <row r="22" spans="1:1" ht="12.75" hidden="1" customHeight="1">
      <c r="A22" s="19">
        <v>31228</v>
      </c>
    </row>
    <row r="23" spans="1:1" ht="12.75" hidden="1" customHeight="1">
      <c r="A23" s="19">
        <v>31593</v>
      </c>
    </row>
    <row r="24" spans="1:1" ht="12.75" hidden="1" customHeight="1">
      <c r="A24" s="19">
        <v>31958</v>
      </c>
    </row>
    <row r="25" spans="1:1" ht="12.75" hidden="1" customHeight="1">
      <c r="A25" s="19">
        <v>32324</v>
      </c>
    </row>
    <row r="26" spans="1:1" ht="12.75" hidden="1" customHeight="1">
      <c r="A26" s="19">
        <v>32689</v>
      </c>
    </row>
    <row r="27" spans="1:1" ht="12.75" hidden="1" customHeight="1">
      <c r="A27" s="19">
        <v>33054</v>
      </c>
    </row>
    <row r="28" spans="1:1" ht="12.75" hidden="1" customHeight="1">
      <c r="A28" s="19">
        <v>33419</v>
      </c>
    </row>
    <row r="29" spans="1:1" ht="12.75" hidden="1" customHeight="1">
      <c r="A29" s="19">
        <v>33785</v>
      </c>
    </row>
    <row r="30" spans="1:1" ht="12.75" hidden="1" customHeight="1">
      <c r="A30" s="19">
        <v>34150</v>
      </c>
    </row>
    <row r="31" spans="1:1" ht="12.75" hidden="1" customHeight="1">
      <c r="A31" s="19">
        <v>34515</v>
      </c>
    </row>
    <row r="32" spans="1:1" ht="12.75" hidden="1" customHeight="1">
      <c r="A32" s="19">
        <v>34880</v>
      </c>
    </row>
    <row r="33" spans="1:12" ht="12.75" hidden="1" customHeight="1">
      <c r="A33" s="19">
        <v>35246</v>
      </c>
    </row>
    <row r="34" spans="1:12" ht="12.75" customHeight="1">
      <c r="A34" s="19">
        <v>35611</v>
      </c>
      <c r="B34">
        <v>212017</v>
      </c>
      <c r="L34" s="211" t="s">
        <v>71</v>
      </c>
    </row>
    <row r="35" spans="1:12">
      <c r="A35" s="19">
        <v>35976</v>
      </c>
      <c r="B35">
        <v>188552</v>
      </c>
      <c r="L35" s="211"/>
    </row>
    <row r="36" spans="1:12">
      <c r="A36" s="19">
        <v>36341</v>
      </c>
      <c r="B36">
        <v>196350</v>
      </c>
      <c r="L36" s="211"/>
    </row>
    <row r="37" spans="1:12">
      <c r="A37" s="19">
        <v>36707</v>
      </c>
      <c r="B37">
        <v>212133</v>
      </c>
      <c r="L37" s="211"/>
    </row>
    <row r="38" spans="1:12">
      <c r="A38" s="19">
        <v>37072</v>
      </c>
      <c r="B38">
        <v>178376</v>
      </c>
      <c r="L38" s="211"/>
    </row>
    <row r="39" spans="1:12">
      <c r="A39" s="19">
        <v>37437</v>
      </c>
      <c r="B39">
        <v>196276</v>
      </c>
      <c r="L39" s="211"/>
    </row>
    <row r="40" spans="1:12">
      <c r="A40" s="19">
        <v>37802</v>
      </c>
      <c r="B40">
        <v>197024</v>
      </c>
      <c r="L40" s="211"/>
    </row>
    <row r="41" spans="1:12">
      <c r="A41" s="19">
        <v>38168</v>
      </c>
      <c r="B41">
        <v>194725</v>
      </c>
      <c r="L41" s="211"/>
    </row>
    <row r="42" spans="1:12">
      <c r="A42" s="19">
        <v>38533</v>
      </c>
      <c r="B42">
        <v>202509</v>
      </c>
      <c r="L42" s="211"/>
    </row>
    <row r="43" spans="1:12">
      <c r="A43" s="19">
        <v>38898</v>
      </c>
      <c r="B43" s="24">
        <v>182294</v>
      </c>
      <c r="C43" s="24"/>
      <c r="L43" s="211"/>
    </row>
    <row r="44" spans="1:12">
      <c r="A44" s="19">
        <v>39263</v>
      </c>
      <c r="B44" s="24">
        <v>201053</v>
      </c>
      <c r="C44" s="24">
        <f t="shared" ref="C44:C54" si="0">B44-$B$37</f>
        <v>-11080</v>
      </c>
      <c r="D44" s="24">
        <f t="shared" ref="D44:D54" si="1">C44*1000000</f>
        <v>-11080000000</v>
      </c>
      <c r="E44" s="25">
        <f t="shared" ref="E44:E54" si="2">D44/$C$63</f>
        <v>-227515.40041067763</v>
      </c>
      <c r="F44" s="25">
        <f t="shared" ref="F44:F54" si="3">E44*$C$60</f>
        <v>-5687.8850102669412</v>
      </c>
      <c r="G44" s="25">
        <f t="shared" ref="G44:G54" si="4">F44*$C$64</f>
        <v>-5574.1273100616027</v>
      </c>
      <c r="H44" s="25">
        <f t="shared" ref="H44:H54" si="5">G44*$C$62</f>
        <v>-156075.56468172488</v>
      </c>
      <c r="I44">
        <f t="shared" ref="I44:I54" si="6">H44/1000000</f>
        <v>-0.15607556468172487</v>
      </c>
      <c r="J44">
        <f t="shared" ref="J44:J54" si="7">I44*$C$58</f>
        <v>-0.13377905544147844</v>
      </c>
      <c r="K44">
        <f>J44+'PA Frack Wells'!$D$67</f>
        <v>-9.4356392013816626E-2</v>
      </c>
    </row>
    <row r="45" spans="1:12">
      <c r="A45" s="19">
        <v>39629</v>
      </c>
      <c r="B45" s="24">
        <v>196067</v>
      </c>
      <c r="C45" s="24">
        <f t="shared" si="0"/>
        <v>-16066</v>
      </c>
      <c r="D45" s="24">
        <f t="shared" si="1"/>
        <v>-16066000000</v>
      </c>
      <c r="E45" s="25">
        <f t="shared" si="2"/>
        <v>-329897.33059548255</v>
      </c>
      <c r="F45" s="25">
        <f t="shared" si="3"/>
        <v>-8247.4332648870641</v>
      </c>
      <c r="G45" s="25">
        <f t="shared" si="4"/>
        <v>-8082.4845995893229</v>
      </c>
      <c r="H45" s="25">
        <f t="shared" si="5"/>
        <v>-226309.56878850103</v>
      </c>
      <c r="I45">
        <f t="shared" si="6"/>
        <v>-0.22630956878850103</v>
      </c>
      <c r="J45">
        <f t="shared" si="7"/>
        <v>-0.19397963039014374</v>
      </c>
      <c r="K45">
        <f>J45+'PA Frack Wells'!$D$67</f>
        <v>-0.15455696696248192</v>
      </c>
    </row>
    <row r="46" spans="1:12">
      <c r="A46" s="19">
        <v>39994</v>
      </c>
      <c r="B46" s="24">
        <v>196510</v>
      </c>
      <c r="C46" s="24">
        <f t="shared" si="0"/>
        <v>-15623</v>
      </c>
      <c r="D46" s="24">
        <f t="shared" si="1"/>
        <v>-15623000000</v>
      </c>
      <c r="E46" s="25">
        <f t="shared" si="2"/>
        <v>-320800.82135523611</v>
      </c>
      <c r="F46" s="25">
        <f t="shared" si="3"/>
        <v>-8020.0205338809028</v>
      </c>
      <c r="G46" s="25">
        <f t="shared" si="4"/>
        <v>-7859.6201232032845</v>
      </c>
      <c r="H46" s="25">
        <f t="shared" si="5"/>
        <v>-220069.36344969197</v>
      </c>
      <c r="I46">
        <f t="shared" si="6"/>
        <v>-0.22006936344969197</v>
      </c>
      <c r="J46">
        <f t="shared" si="7"/>
        <v>-0.18863088295687883</v>
      </c>
      <c r="K46">
        <f>J46+'PA Frack Wells'!$D$67</f>
        <v>-0.14920821952921701</v>
      </c>
    </row>
    <row r="47" spans="1:12">
      <c r="A47" s="19">
        <v>40359</v>
      </c>
      <c r="B47" s="24">
        <v>212020</v>
      </c>
      <c r="C47" s="24">
        <f t="shared" si="0"/>
        <v>-113</v>
      </c>
      <c r="D47" s="24">
        <f t="shared" si="1"/>
        <v>-113000000</v>
      </c>
      <c r="E47" s="25">
        <f t="shared" si="2"/>
        <v>-2320.3285420944558</v>
      </c>
      <c r="F47" s="25">
        <f t="shared" si="3"/>
        <v>-58.008213552361397</v>
      </c>
      <c r="G47" s="25">
        <f t="shared" si="4"/>
        <v>-56.848049281314168</v>
      </c>
      <c r="H47" s="25">
        <f t="shared" si="5"/>
        <v>-1591.7453798767967</v>
      </c>
      <c r="I47">
        <f t="shared" si="6"/>
        <v>-1.5917453798767968E-3</v>
      </c>
      <c r="J47">
        <f t="shared" si="7"/>
        <v>-1.36435318275154E-3</v>
      </c>
      <c r="K47">
        <f>J47+'PA Frack Wells'!$D$67</f>
        <v>3.8058310244910271E-2</v>
      </c>
    </row>
    <row r="48" spans="1:12">
      <c r="A48" s="19">
        <v>40724</v>
      </c>
      <c r="B48" s="24">
        <v>193986</v>
      </c>
      <c r="C48" s="24">
        <f t="shared" si="0"/>
        <v>-18147</v>
      </c>
      <c r="D48" s="24">
        <f t="shared" si="1"/>
        <v>-18147000000</v>
      </c>
      <c r="E48" s="25">
        <f t="shared" si="2"/>
        <v>-372628.3367556468</v>
      </c>
      <c r="F48" s="25">
        <f t="shared" si="3"/>
        <v>-9315.7084188911704</v>
      </c>
      <c r="G48" s="25">
        <f t="shared" si="4"/>
        <v>-9129.3942505133473</v>
      </c>
      <c r="H48" s="25">
        <f t="shared" si="5"/>
        <v>-255623.03901437373</v>
      </c>
      <c r="I48">
        <f t="shared" si="6"/>
        <v>-0.25562303901437372</v>
      </c>
      <c r="J48">
        <f t="shared" si="7"/>
        <v>-0.21910546201232031</v>
      </c>
      <c r="K48">
        <f>J48+'PA Frack Wells'!$D$67</f>
        <v>-0.17968279858465849</v>
      </c>
    </row>
    <row r="49" spans="1:12">
      <c r="A49" s="19">
        <v>41090</v>
      </c>
      <c r="B49" s="24">
        <v>208946</v>
      </c>
      <c r="C49" s="24">
        <f t="shared" si="0"/>
        <v>-3187</v>
      </c>
      <c r="D49" s="24">
        <f t="shared" si="1"/>
        <v>-3187000000</v>
      </c>
      <c r="E49" s="25">
        <f t="shared" si="2"/>
        <v>-65441.478439425053</v>
      </c>
      <c r="F49" s="25">
        <f t="shared" si="3"/>
        <v>-1636.0369609856264</v>
      </c>
      <c r="G49" s="25">
        <f t="shared" si="4"/>
        <v>-1603.3162217659137</v>
      </c>
      <c r="H49" s="25">
        <f t="shared" si="5"/>
        <v>-44892.854209445584</v>
      </c>
      <c r="I49">
        <f t="shared" si="6"/>
        <v>-4.4892854209445582E-2</v>
      </c>
      <c r="J49">
        <f t="shared" si="7"/>
        <v>-3.8479589322381928E-2</v>
      </c>
      <c r="K49">
        <f>J49+'PA Frack Wells'!$D$67</f>
        <v>9.4307410527988411E-4</v>
      </c>
    </row>
    <row r="50" spans="1:12">
      <c r="A50" s="19">
        <v>41455</v>
      </c>
      <c r="B50" s="24">
        <v>197356</v>
      </c>
      <c r="C50" s="24">
        <f t="shared" si="0"/>
        <v>-14777</v>
      </c>
      <c r="D50" s="24">
        <f t="shared" si="1"/>
        <v>-14777000000</v>
      </c>
      <c r="E50" s="25">
        <f t="shared" si="2"/>
        <v>-303429.15811088297</v>
      </c>
      <c r="F50" s="25">
        <f t="shared" si="3"/>
        <v>-7585.728952772075</v>
      </c>
      <c r="G50" s="25">
        <f t="shared" si="4"/>
        <v>-7434.0143737166336</v>
      </c>
      <c r="H50" s="25">
        <f t="shared" si="5"/>
        <v>-208152.40246406573</v>
      </c>
      <c r="I50">
        <f t="shared" si="6"/>
        <v>-0.20815240246406572</v>
      </c>
      <c r="J50">
        <f t="shared" si="7"/>
        <v>-0.17841634496919917</v>
      </c>
      <c r="K50">
        <f>J50+'PA Frack Wells'!$D$67</f>
        <v>-0.13899368154153735</v>
      </c>
    </row>
    <row r="51" spans="1:12">
      <c r="A51" s="19">
        <v>41820</v>
      </c>
      <c r="B51" s="24">
        <v>207103</v>
      </c>
      <c r="C51" s="24">
        <f t="shared" si="0"/>
        <v>-5030</v>
      </c>
      <c r="D51" s="24">
        <f t="shared" si="1"/>
        <v>-5030000000</v>
      </c>
      <c r="E51" s="25">
        <f t="shared" si="2"/>
        <v>-103285.42094455851</v>
      </c>
      <c r="F51" s="25">
        <f t="shared" si="3"/>
        <v>-2582.135523613963</v>
      </c>
      <c r="G51" s="25">
        <f t="shared" si="4"/>
        <v>-2530.4928131416837</v>
      </c>
      <c r="H51" s="25">
        <f t="shared" si="5"/>
        <v>-70853.79876796715</v>
      </c>
      <c r="I51">
        <f t="shared" si="6"/>
        <v>-7.0853798767967144E-2</v>
      </c>
      <c r="J51">
        <f t="shared" si="7"/>
        <v>-6.0731827515400405E-2</v>
      </c>
      <c r="K51">
        <f>J51+'PA Frack Wells'!$D$67</f>
        <v>-2.1309164087738593E-2</v>
      </c>
    </row>
    <row r="52" spans="1:12">
      <c r="A52" s="19">
        <v>42185</v>
      </c>
      <c r="B52" s="24">
        <v>215005</v>
      </c>
      <c r="C52" s="24">
        <f t="shared" si="0"/>
        <v>2872</v>
      </c>
      <c r="D52" s="24">
        <f t="shared" si="1"/>
        <v>2872000000</v>
      </c>
      <c r="E52" s="25">
        <f t="shared" si="2"/>
        <v>58973.305954825461</v>
      </c>
      <c r="F52" s="25">
        <f t="shared" si="3"/>
        <v>1474.3326488706366</v>
      </c>
      <c r="G52" s="25">
        <f t="shared" si="4"/>
        <v>1444.8459958932237</v>
      </c>
      <c r="H52" s="25">
        <f t="shared" si="5"/>
        <v>40455.687885010266</v>
      </c>
      <c r="I52">
        <f t="shared" si="6"/>
        <v>4.0455687885010264E-2</v>
      </c>
      <c r="J52">
        <f t="shared" si="7"/>
        <v>3.4676303901437368E-2</v>
      </c>
      <c r="K52">
        <f>J52+'PA Frack Wells'!$D$67</f>
        <v>7.409896732909918E-2</v>
      </c>
    </row>
    <row r="53" spans="1:12">
      <c r="A53" s="19">
        <v>42551</v>
      </c>
      <c r="B53" s="24">
        <v>219024</v>
      </c>
      <c r="C53" s="24">
        <f t="shared" si="0"/>
        <v>6891</v>
      </c>
      <c r="D53" s="24">
        <f t="shared" si="1"/>
        <v>6891000000</v>
      </c>
      <c r="E53" s="25">
        <f t="shared" si="2"/>
        <v>141498.97330595483</v>
      </c>
      <c r="F53" s="25">
        <f t="shared" si="3"/>
        <v>3537.474332648871</v>
      </c>
      <c r="G53" s="25">
        <f t="shared" si="4"/>
        <v>3466.7248459958937</v>
      </c>
      <c r="H53" s="25">
        <f t="shared" si="5"/>
        <v>97068.295687885024</v>
      </c>
      <c r="I53">
        <f t="shared" si="6"/>
        <v>9.7068295687885026E-2</v>
      </c>
      <c r="J53">
        <f t="shared" si="7"/>
        <v>8.3201396303901443E-2</v>
      </c>
      <c r="K53">
        <f>J53+'PA Frack Wells'!$D$67</f>
        <v>0.12262405973156326</v>
      </c>
    </row>
    <row r="54" spans="1:12">
      <c r="A54" s="19">
        <v>42916</v>
      </c>
      <c r="B54" s="24">
        <v>222877</v>
      </c>
      <c r="C54" s="24">
        <f t="shared" si="0"/>
        <v>10744</v>
      </c>
      <c r="D54" s="24">
        <f t="shared" si="1"/>
        <v>10744000000</v>
      </c>
      <c r="E54" s="25">
        <f t="shared" si="2"/>
        <v>220616.01642710471</v>
      </c>
      <c r="F54" s="25">
        <f t="shared" si="3"/>
        <v>5515.4004106776183</v>
      </c>
      <c r="G54" s="25">
        <f t="shared" si="4"/>
        <v>5405.0924024640663</v>
      </c>
      <c r="H54" s="25">
        <f t="shared" si="5"/>
        <v>151342.58726899384</v>
      </c>
      <c r="I54">
        <f t="shared" si="6"/>
        <v>0.15134258726899383</v>
      </c>
      <c r="J54">
        <f t="shared" si="7"/>
        <v>0.12972221765913755</v>
      </c>
      <c r="K54">
        <f>J54+'PA Frack Wells'!$D$67</f>
        <v>0.16914488108679937</v>
      </c>
    </row>
    <row r="55" spans="1:12">
      <c r="B55" s="24"/>
    </row>
    <row r="57" spans="1:12" ht="15" thickBot="1">
      <c r="B57" s="26" t="s">
        <v>72</v>
      </c>
      <c r="C57" s="26" t="s">
        <v>73</v>
      </c>
      <c r="D57" s="26"/>
      <c r="E57" s="27"/>
      <c r="F57" s="27"/>
      <c r="G57" s="212" t="s">
        <v>49</v>
      </c>
      <c r="H57" s="212"/>
      <c r="I57" s="212"/>
      <c r="J57" s="212"/>
      <c r="K57" s="212"/>
      <c r="L57" s="212"/>
    </row>
    <row r="58" spans="1:12">
      <c r="B58" s="20" t="s">
        <v>74</v>
      </c>
      <c r="C58" s="28">
        <f>6/7</f>
        <v>0.8571428571428571</v>
      </c>
      <c r="D58" s="29"/>
      <c r="E58" s="30"/>
      <c r="F58" s="30"/>
      <c r="G58" s="31" t="s">
        <v>75</v>
      </c>
      <c r="H58" s="32"/>
      <c r="I58" s="32"/>
      <c r="J58" s="32"/>
      <c r="K58" s="32"/>
      <c r="L58" s="32"/>
    </row>
    <row r="59" spans="1:12" ht="12.75" customHeight="1">
      <c r="G59" s="213" t="s">
        <v>50</v>
      </c>
      <c r="H59" s="213"/>
      <c r="I59" s="213"/>
      <c r="J59" s="213"/>
      <c r="K59" s="213"/>
      <c r="L59" s="213"/>
    </row>
    <row r="60" spans="1:12" ht="12.75" customHeight="1">
      <c r="B60" s="20" t="s">
        <v>51</v>
      </c>
      <c r="C60" s="20">
        <v>2.5000000000000001E-2</v>
      </c>
      <c r="G60" s="213" t="s">
        <v>52</v>
      </c>
      <c r="H60" s="213"/>
      <c r="I60" s="213"/>
      <c r="J60" s="213"/>
      <c r="K60" s="213"/>
      <c r="L60" s="213"/>
    </row>
    <row r="61" spans="1:12">
      <c r="B61" s="20" t="s">
        <v>53</v>
      </c>
      <c r="C61" s="20">
        <v>26.3</v>
      </c>
    </row>
    <row r="62" spans="1:12">
      <c r="B62" s="20" t="s">
        <v>54</v>
      </c>
      <c r="C62" s="20">
        <v>28</v>
      </c>
      <c r="G62" t="s">
        <v>55</v>
      </c>
    </row>
    <row r="63" spans="1:12" ht="12.75" customHeight="1">
      <c r="B63" s="20" t="s">
        <v>56</v>
      </c>
      <c r="C63" s="21">
        <v>48700</v>
      </c>
      <c r="D63" t="s">
        <v>57</v>
      </c>
      <c r="G63" s="213" t="s">
        <v>58</v>
      </c>
      <c r="H63" s="213"/>
      <c r="I63" s="213"/>
      <c r="J63" s="213"/>
      <c r="K63" s="213"/>
      <c r="L63" s="213"/>
    </row>
    <row r="64" spans="1:12" ht="12.75" customHeight="1">
      <c r="B64" s="20" t="s">
        <v>59</v>
      </c>
      <c r="C64" s="20">
        <v>0.98</v>
      </c>
      <c r="D64" s="3" t="s">
        <v>60</v>
      </c>
      <c r="G64" s="213"/>
      <c r="H64" s="213"/>
      <c r="I64" s="213"/>
      <c r="J64" s="213"/>
      <c r="K64" s="213"/>
    </row>
    <row r="65" spans="2:9">
      <c r="D65" s="3" t="s">
        <v>76</v>
      </c>
      <c r="G65" s="12" t="s">
        <v>77</v>
      </c>
    </row>
    <row r="68" spans="2:9">
      <c r="G68" s="12"/>
    </row>
    <row r="70" spans="2:9" ht="72" customHeight="1">
      <c r="B70" s="209" t="s">
        <v>78</v>
      </c>
      <c r="C70" s="209"/>
      <c r="D70" s="209"/>
      <c r="E70" s="209"/>
      <c r="F70" s="209"/>
      <c r="G70" s="209"/>
      <c r="H70" s="209"/>
      <c r="I70" s="209"/>
    </row>
    <row r="71" spans="2:9">
      <c r="B71" s="12" t="s">
        <v>79</v>
      </c>
    </row>
    <row r="74" spans="2:9">
      <c r="B74" s="3" t="s">
        <v>80</v>
      </c>
    </row>
    <row r="75" spans="2:9">
      <c r="B75" s="12" t="s">
        <v>77</v>
      </c>
    </row>
  </sheetData>
  <sheetProtection algorithmName="SHA-512" hashValue="BaFCO3eBjC56uxTMzYWcoOBDsJgpShULO67iiLvmxtn6HahljN2ysll3beXjvcfFJCFLETWeu78kAUnH+MpIXw==" saltValue="0r/9wy+WqiO42klfKue0cA==" spinCount="100000" sheet="1" objects="1" scenarios="1"/>
  <mergeCells count="7">
    <mergeCell ref="B70:I70"/>
    <mergeCell ref="L34:L43"/>
    <mergeCell ref="G57:L57"/>
    <mergeCell ref="G59:L59"/>
    <mergeCell ref="G60:L60"/>
    <mergeCell ref="G63:L63"/>
    <mergeCell ref="G64:K64"/>
  </mergeCells>
  <hyperlinks>
    <hyperlink ref="A1" location="Contents!A1" display="Back to Contents" xr:uid="{00000000-0004-0000-0400-000000000000}"/>
    <hyperlink ref="G60" r:id="rId1" xr:uid="{00000000-0004-0000-0400-000001000000}"/>
    <hyperlink ref="G63" r:id="rId2" xr:uid="{00000000-0004-0000-0400-000002000000}"/>
    <hyperlink ref="G65" r:id="rId3" xr:uid="{00000000-0004-0000-0400-000003000000}"/>
    <hyperlink ref="B71" r:id="rId4" xr:uid="{00000000-0004-0000-0400-000004000000}"/>
    <hyperlink ref="B75" r:id="rId5" xr:uid="{00000000-0004-0000-0400-000005000000}"/>
  </hyperlinks>
  <pageMargins left="0.70000000000000007" right="0.70000000000000007" top="1.1437000000000002" bottom="1.1437000000000002" header="0.75000000000000011" footer="0.75000000000000011"/>
  <pageSetup paperSize="0" fitToWidth="0" fitToHeight="0" orientation="portrait" horizontalDpi="0" verticalDpi="0" copies="0"/>
  <headerFooter alignWithMargins="0"/>
  <legacyDrawing r:id="rId6"/>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L75"/>
  <sheetViews>
    <sheetView topLeftCell="C34" workbookViewId="0">
      <selection activeCell="G59" sqref="G59:L59"/>
    </sheetView>
  </sheetViews>
  <sheetFormatPr defaultRowHeight="14.25"/>
  <cols>
    <col min="1" max="1" width="14" customWidth="1"/>
    <col min="2" max="2" width="33.75" customWidth="1"/>
    <col min="3" max="3" width="9.875" customWidth="1"/>
    <col min="4" max="4" width="14.125" customWidth="1"/>
    <col min="5" max="5" width="10.5" customWidth="1"/>
    <col min="6" max="6" width="9.625" customWidth="1"/>
    <col min="7" max="7" width="9.25" customWidth="1"/>
    <col min="8" max="8" width="10.5" customWidth="1"/>
    <col min="9" max="10" width="8" customWidth="1"/>
    <col min="11" max="11" width="17.875" customWidth="1"/>
    <col min="12" max="12" width="25" customWidth="1"/>
    <col min="13" max="1024" width="8" customWidth="1"/>
  </cols>
  <sheetData>
    <row r="1" spans="1:11" ht="15.75">
      <c r="A1" s="23" t="s">
        <v>25</v>
      </c>
      <c r="B1" s="14" t="s">
        <v>26</v>
      </c>
    </row>
    <row r="2" spans="1:11">
      <c r="A2" s="15" t="s">
        <v>27</v>
      </c>
      <c r="B2" s="16" t="s">
        <v>28</v>
      </c>
    </row>
    <row r="3" spans="1:11" ht="51">
      <c r="A3" s="17" t="s">
        <v>38</v>
      </c>
      <c r="B3" s="18" t="s">
        <v>39</v>
      </c>
      <c r="C3" s="18" t="s">
        <v>62</v>
      </c>
      <c r="D3" s="17" t="s">
        <v>63</v>
      </c>
      <c r="E3" s="17" t="s">
        <v>64</v>
      </c>
      <c r="F3" s="17" t="s">
        <v>65</v>
      </c>
      <c r="G3" s="17" t="s">
        <v>66</v>
      </c>
      <c r="H3" s="17" t="s">
        <v>67</v>
      </c>
      <c r="I3" s="17" t="s">
        <v>68</v>
      </c>
      <c r="J3" s="17" t="s">
        <v>69</v>
      </c>
      <c r="K3" s="17" t="s">
        <v>70</v>
      </c>
    </row>
    <row r="4" spans="1:11" ht="12.75" hidden="1" customHeight="1">
      <c r="A4" s="19">
        <v>24653</v>
      </c>
    </row>
    <row r="5" spans="1:11" ht="12.75" hidden="1" customHeight="1">
      <c r="A5" s="19">
        <v>25019</v>
      </c>
    </row>
    <row r="6" spans="1:11" ht="12.75" hidden="1" customHeight="1">
      <c r="A6" s="19">
        <v>25384</v>
      </c>
    </row>
    <row r="7" spans="1:11" ht="12.75" hidden="1" customHeight="1">
      <c r="A7" s="19">
        <v>25749</v>
      </c>
    </row>
    <row r="8" spans="1:11" ht="12.75" hidden="1" customHeight="1">
      <c r="A8" s="19">
        <v>26114</v>
      </c>
    </row>
    <row r="9" spans="1:11" ht="12.75" hidden="1" customHeight="1">
      <c r="A9" s="19">
        <v>26480</v>
      </c>
    </row>
    <row r="10" spans="1:11" ht="12.75" hidden="1" customHeight="1">
      <c r="A10" s="19">
        <v>26845</v>
      </c>
    </row>
    <row r="11" spans="1:11" ht="12.75" hidden="1" customHeight="1">
      <c r="A11" s="19">
        <v>27210</v>
      </c>
    </row>
    <row r="12" spans="1:11" ht="12.75" hidden="1" customHeight="1">
      <c r="A12" s="19">
        <v>27575</v>
      </c>
    </row>
    <row r="13" spans="1:11" ht="12.75" hidden="1" customHeight="1">
      <c r="A13" s="19">
        <v>27941</v>
      </c>
    </row>
    <row r="14" spans="1:11" ht="12.75" hidden="1" customHeight="1">
      <c r="A14" s="19">
        <v>28306</v>
      </c>
    </row>
    <row r="15" spans="1:11" ht="12.75" hidden="1" customHeight="1">
      <c r="A15" s="19">
        <v>28671</v>
      </c>
    </row>
    <row r="16" spans="1:11" ht="12.75" hidden="1" customHeight="1">
      <c r="A16" s="19">
        <v>29036</v>
      </c>
    </row>
    <row r="17" spans="1:1" ht="12.75" hidden="1" customHeight="1">
      <c r="A17" s="19">
        <v>29402</v>
      </c>
    </row>
    <row r="18" spans="1:1" ht="12.75" hidden="1" customHeight="1">
      <c r="A18" s="19">
        <v>29767</v>
      </c>
    </row>
    <row r="19" spans="1:1" ht="12.75" hidden="1" customHeight="1">
      <c r="A19" s="19">
        <v>30132</v>
      </c>
    </row>
    <row r="20" spans="1:1" ht="12.75" hidden="1" customHeight="1">
      <c r="A20" s="19">
        <v>30497</v>
      </c>
    </row>
    <row r="21" spans="1:1" ht="12.75" hidden="1" customHeight="1">
      <c r="A21" s="19">
        <v>30863</v>
      </c>
    </row>
    <row r="22" spans="1:1" ht="12.75" hidden="1" customHeight="1">
      <c r="A22" s="19">
        <v>31228</v>
      </c>
    </row>
    <row r="23" spans="1:1" ht="12.75" hidden="1" customHeight="1">
      <c r="A23" s="19">
        <v>31593</v>
      </c>
    </row>
    <row r="24" spans="1:1" ht="12.75" hidden="1" customHeight="1">
      <c r="A24" s="19">
        <v>31958</v>
      </c>
    </row>
    <row r="25" spans="1:1" ht="12.75" hidden="1" customHeight="1">
      <c r="A25" s="19">
        <v>32324</v>
      </c>
    </row>
    <row r="26" spans="1:1" ht="12.75" hidden="1" customHeight="1">
      <c r="A26" s="19">
        <v>32689</v>
      </c>
    </row>
    <row r="27" spans="1:1" ht="12.75" hidden="1" customHeight="1">
      <c r="A27" s="19">
        <v>33054</v>
      </c>
    </row>
    <row r="28" spans="1:1" ht="12.75" hidden="1" customHeight="1">
      <c r="A28" s="19">
        <v>33419</v>
      </c>
    </row>
    <row r="29" spans="1:1" ht="12.75" hidden="1" customHeight="1">
      <c r="A29" s="19">
        <v>33785</v>
      </c>
    </row>
    <row r="30" spans="1:1" ht="12.75" hidden="1" customHeight="1">
      <c r="A30" s="19">
        <v>34150</v>
      </c>
    </row>
    <row r="31" spans="1:1" ht="12.75" hidden="1" customHeight="1">
      <c r="A31" s="19">
        <v>34515</v>
      </c>
    </row>
    <row r="32" spans="1:1" ht="12.75" hidden="1" customHeight="1">
      <c r="A32" s="19">
        <v>34880</v>
      </c>
    </row>
    <row r="33" spans="1:12" ht="12.75" hidden="1" customHeight="1">
      <c r="A33" s="19">
        <v>35246</v>
      </c>
    </row>
    <row r="34" spans="1:12" ht="12.75" customHeight="1">
      <c r="A34" s="19">
        <v>35611</v>
      </c>
      <c r="B34">
        <v>212017</v>
      </c>
      <c r="L34" s="211" t="s">
        <v>71</v>
      </c>
    </row>
    <row r="35" spans="1:12">
      <c r="A35" s="19">
        <v>35976</v>
      </c>
      <c r="B35">
        <v>188552</v>
      </c>
      <c r="L35" s="211"/>
    </row>
    <row r="36" spans="1:12">
      <c r="A36" s="19">
        <v>36341</v>
      </c>
      <c r="B36">
        <v>196350</v>
      </c>
      <c r="L36" s="211"/>
    </row>
    <row r="37" spans="1:12">
      <c r="A37" s="19">
        <v>36707</v>
      </c>
      <c r="B37">
        <v>212133</v>
      </c>
      <c r="L37" s="211"/>
    </row>
    <row r="38" spans="1:12">
      <c r="A38" s="19">
        <v>37072</v>
      </c>
      <c r="B38">
        <v>178376</v>
      </c>
      <c r="L38" s="211"/>
    </row>
    <row r="39" spans="1:12">
      <c r="A39" s="19">
        <v>37437</v>
      </c>
      <c r="B39">
        <v>196276</v>
      </c>
      <c r="L39" s="211"/>
    </row>
    <row r="40" spans="1:12">
      <c r="A40" s="19">
        <v>37802</v>
      </c>
      <c r="B40">
        <v>197024</v>
      </c>
      <c r="L40" s="211"/>
    </row>
    <row r="41" spans="1:12">
      <c r="A41" s="19">
        <v>38168</v>
      </c>
      <c r="B41">
        <v>194725</v>
      </c>
      <c r="L41" s="211"/>
    </row>
    <row r="42" spans="1:12">
      <c r="A42" s="19">
        <v>38533</v>
      </c>
      <c r="B42">
        <v>202509</v>
      </c>
      <c r="L42" s="211"/>
    </row>
    <row r="43" spans="1:12">
      <c r="A43" s="19">
        <v>38898</v>
      </c>
      <c r="B43" s="24">
        <v>182294</v>
      </c>
      <c r="C43" s="24"/>
      <c r="L43" s="211"/>
    </row>
    <row r="44" spans="1:12">
      <c r="A44" s="19">
        <v>39263</v>
      </c>
      <c r="B44" s="24">
        <v>201053</v>
      </c>
      <c r="C44" s="24">
        <f t="shared" ref="C44:C54" si="0">B44-$B$37</f>
        <v>-11080</v>
      </c>
      <c r="D44" s="24">
        <f t="shared" ref="D44:D54" si="1">C44*1000000</f>
        <v>-11080000000</v>
      </c>
      <c r="E44" s="25">
        <f t="shared" ref="E44:E54" si="2">D44/$C$63</f>
        <v>-227515.40041067763</v>
      </c>
      <c r="F44" s="25">
        <f t="shared" ref="F44:F54" si="3">E44*$C$60</f>
        <v>-5687.8850102669412</v>
      </c>
      <c r="G44" s="25">
        <f t="shared" ref="G44:G54" si="4">F44*$C$64</f>
        <v>-5574.1273100616027</v>
      </c>
      <c r="H44" s="25">
        <f t="shared" ref="H44:H54" si="5">G44*$C$62</f>
        <v>-468226.69404517463</v>
      </c>
      <c r="I44">
        <f t="shared" ref="I44:I54" si="6">H44/1000000</f>
        <v>-0.46822669404517464</v>
      </c>
      <c r="J44">
        <f t="shared" ref="J44:J54" si="7">I44*$C$58</f>
        <v>-0.40133716632443539</v>
      </c>
      <c r="K44">
        <f>J44+'PA Frack Wells (84)'!$D$67</f>
        <v>-0.36058968246014755</v>
      </c>
    </row>
    <row r="45" spans="1:12">
      <c r="A45" s="19">
        <v>39629</v>
      </c>
      <c r="B45" s="24">
        <v>196067</v>
      </c>
      <c r="C45" s="24">
        <f t="shared" si="0"/>
        <v>-16066</v>
      </c>
      <c r="D45" s="24">
        <f t="shared" si="1"/>
        <v>-16066000000</v>
      </c>
      <c r="E45" s="25">
        <f t="shared" si="2"/>
        <v>-329897.33059548255</v>
      </c>
      <c r="F45" s="25">
        <f t="shared" si="3"/>
        <v>-8247.4332648870641</v>
      </c>
      <c r="G45" s="25">
        <f t="shared" si="4"/>
        <v>-8082.4845995893229</v>
      </c>
      <c r="H45" s="25">
        <f t="shared" si="5"/>
        <v>-678928.70636550314</v>
      </c>
      <c r="I45">
        <f t="shared" si="6"/>
        <v>-0.67892870636550318</v>
      </c>
      <c r="J45">
        <f t="shared" si="7"/>
        <v>-0.58193889117043129</v>
      </c>
      <c r="K45">
        <f>J45+'PA Frack Wells (84)'!$D$67</f>
        <v>-0.54119140730614346</v>
      </c>
    </row>
    <row r="46" spans="1:12">
      <c r="A46" s="19">
        <v>39994</v>
      </c>
      <c r="B46" s="24">
        <v>196510</v>
      </c>
      <c r="C46" s="24">
        <f t="shared" si="0"/>
        <v>-15623</v>
      </c>
      <c r="D46" s="24">
        <f t="shared" si="1"/>
        <v>-15623000000</v>
      </c>
      <c r="E46" s="25">
        <f t="shared" si="2"/>
        <v>-320800.82135523611</v>
      </c>
      <c r="F46" s="25">
        <f t="shared" si="3"/>
        <v>-8020.0205338809028</v>
      </c>
      <c r="G46" s="25">
        <f t="shared" si="4"/>
        <v>-7859.6201232032845</v>
      </c>
      <c r="H46" s="25">
        <f t="shared" si="5"/>
        <v>-660208.09034907585</v>
      </c>
      <c r="I46">
        <f t="shared" si="6"/>
        <v>-0.6602080903490759</v>
      </c>
      <c r="J46">
        <f t="shared" si="7"/>
        <v>-0.56589264887063651</v>
      </c>
      <c r="K46">
        <f>J46+'PA Frack Wells (84)'!$D$67</f>
        <v>-0.52514516500634867</v>
      </c>
    </row>
    <row r="47" spans="1:12">
      <c r="A47" s="19">
        <v>40359</v>
      </c>
      <c r="B47" s="24">
        <v>212020</v>
      </c>
      <c r="C47" s="24">
        <f t="shared" si="0"/>
        <v>-113</v>
      </c>
      <c r="D47" s="24">
        <f t="shared" si="1"/>
        <v>-113000000</v>
      </c>
      <c r="E47" s="25">
        <f t="shared" si="2"/>
        <v>-2320.3285420944558</v>
      </c>
      <c r="F47" s="25">
        <f t="shared" si="3"/>
        <v>-58.008213552361397</v>
      </c>
      <c r="G47" s="25">
        <f t="shared" si="4"/>
        <v>-56.848049281314168</v>
      </c>
      <c r="H47" s="25">
        <f t="shared" si="5"/>
        <v>-4775.2361396303904</v>
      </c>
      <c r="I47">
        <f t="shared" si="6"/>
        <v>-4.7752361396303901E-3</v>
      </c>
      <c r="J47">
        <f t="shared" si="7"/>
        <v>-4.0930595482546201E-3</v>
      </c>
      <c r="K47">
        <f>J47+'PA Frack Wells (84)'!$D$67</f>
        <v>3.6654424316033225E-2</v>
      </c>
    </row>
    <row r="48" spans="1:12">
      <c r="A48" s="19">
        <v>40724</v>
      </c>
      <c r="B48" s="24">
        <v>193986</v>
      </c>
      <c r="C48" s="24">
        <f t="shared" si="0"/>
        <v>-18147</v>
      </c>
      <c r="D48" s="24">
        <f t="shared" si="1"/>
        <v>-18147000000</v>
      </c>
      <c r="E48" s="25">
        <f t="shared" si="2"/>
        <v>-372628.3367556468</v>
      </c>
      <c r="F48" s="25">
        <f t="shared" si="3"/>
        <v>-9315.7084188911704</v>
      </c>
      <c r="G48" s="25">
        <f t="shared" si="4"/>
        <v>-9129.3942505133473</v>
      </c>
      <c r="H48" s="25">
        <f t="shared" si="5"/>
        <v>-766869.11704312114</v>
      </c>
      <c r="I48">
        <f t="shared" si="6"/>
        <v>-0.76686911704312111</v>
      </c>
      <c r="J48">
        <f t="shared" si="7"/>
        <v>-0.65731638603696096</v>
      </c>
      <c r="K48">
        <f>J48+'PA Frack Wells (84)'!$D$67</f>
        <v>-0.61656890217267313</v>
      </c>
    </row>
    <row r="49" spans="1:12">
      <c r="A49" s="19">
        <v>41090</v>
      </c>
      <c r="B49" s="24">
        <v>208946</v>
      </c>
      <c r="C49" s="24">
        <f t="shared" si="0"/>
        <v>-3187</v>
      </c>
      <c r="D49" s="24">
        <f t="shared" si="1"/>
        <v>-3187000000</v>
      </c>
      <c r="E49" s="25">
        <f t="shared" si="2"/>
        <v>-65441.478439425053</v>
      </c>
      <c r="F49" s="25">
        <f t="shared" si="3"/>
        <v>-1636.0369609856264</v>
      </c>
      <c r="G49" s="25">
        <f t="shared" si="4"/>
        <v>-1603.3162217659137</v>
      </c>
      <c r="H49" s="25">
        <f t="shared" si="5"/>
        <v>-134678.56262833675</v>
      </c>
      <c r="I49">
        <f t="shared" si="6"/>
        <v>-0.13467856262833675</v>
      </c>
      <c r="J49">
        <f t="shared" si="7"/>
        <v>-0.11543876796714578</v>
      </c>
      <c r="K49">
        <f>J49+'PA Frack Wells (84)'!$D$67</f>
        <v>-7.4691284102857941E-2</v>
      </c>
    </row>
    <row r="50" spans="1:12">
      <c r="A50" s="19">
        <v>41455</v>
      </c>
      <c r="B50" s="24">
        <v>197356</v>
      </c>
      <c r="C50" s="24">
        <f t="shared" si="0"/>
        <v>-14777</v>
      </c>
      <c r="D50" s="24">
        <f t="shared" si="1"/>
        <v>-14777000000</v>
      </c>
      <c r="E50" s="25">
        <f t="shared" si="2"/>
        <v>-303429.15811088297</v>
      </c>
      <c r="F50" s="25">
        <f t="shared" si="3"/>
        <v>-7585.728952772075</v>
      </c>
      <c r="G50" s="25">
        <f t="shared" si="4"/>
        <v>-7434.0143737166336</v>
      </c>
      <c r="H50" s="25">
        <f t="shared" si="5"/>
        <v>-624457.20739219722</v>
      </c>
      <c r="I50">
        <f t="shared" si="6"/>
        <v>-0.62445720739219723</v>
      </c>
      <c r="J50">
        <f t="shared" si="7"/>
        <v>-0.53524903490759757</v>
      </c>
      <c r="K50">
        <f>J50+'PA Frack Wells (84)'!$D$67</f>
        <v>-0.49450155104330973</v>
      </c>
    </row>
    <row r="51" spans="1:12">
      <c r="A51" s="19">
        <v>41820</v>
      </c>
      <c r="B51" s="24">
        <v>207103</v>
      </c>
      <c r="C51" s="24">
        <f t="shared" si="0"/>
        <v>-5030</v>
      </c>
      <c r="D51" s="24">
        <f t="shared" si="1"/>
        <v>-5030000000</v>
      </c>
      <c r="E51" s="25">
        <f t="shared" si="2"/>
        <v>-103285.42094455851</v>
      </c>
      <c r="F51" s="25">
        <f t="shared" si="3"/>
        <v>-2582.135523613963</v>
      </c>
      <c r="G51" s="25">
        <f t="shared" si="4"/>
        <v>-2530.4928131416837</v>
      </c>
      <c r="H51" s="25">
        <f t="shared" si="5"/>
        <v>-212561.39630390142</v>
      </c>
      <c r="I51">
        <f t="shared" si="6"/>
        <v>-0.21256139630390142</v>
      </c>
      <c r="J51">
        <f t="shared" si="7"/>
        <v>-0.18219548254620122</v>
      </c>
      <c r="K51">
        <f>J51+'PA Frack Wells (84)'!$D$67</f>
        <v>-0.14144799868191338</v>
      </c>
    </row>
    <row r="52" spans="1:12">
      <c r="A52" s="19">
        <v>42185</v>
      </c>
      <c r="B52" s="24">
        <v>215005</v>
      </c>
      <c r="C52" s="24">
        <f t="shared" si="0"/>
        <v>2872</v>
      </c>
      <c r="D52" s="24">
        <f t="shared" si="1"/>
        <v>2872000000</v>
      </c>
      <c r="E52" s="25">
        <f t="shared" si="2"/>
        <v>58973.305954825461</v>
      </c>
      <c r="F52" s="25">
        <f t="shared" si="3"/>
        <v>1474.3326488706366</v>
      </c>
      <c r="G52" s="25">
        <f t="shared" si="4"/>
        <v>1444.8459958932237</v>
      </c>
      <c r="H52" s="25">
        <f t="shared" si="5"/>
        <v>121367.0636550308</v>
      </c>
      <c r="I52">
        <f t="shared" si="6"/>
        <v>0.12136706365503079</v>
      </c>
      <c r="J52">
        <f t="shared" si="7"/>
        <v>0.1040289117043121</v>
      </c>
      <c r="K52">
        <f>J52+'PA Frack Wells (84)'!$D$67</f>
        <v>0.14477639556859995</v>
      </c>
    </row>
    <row r="53" spans="1:12">
      <c r="A53" s="19">
        <v>42551</v>
      </c>
      <c r="B53" s="24">
        <v>219024</v>
      </c>
      <c r="C53" s="24">
        <f t="shared" si="0"/>
        <v>6891</v>
      </c>
      <c r="D53" s="24">
        <f t="shared" si="1"/>
        <v>6891000000</v>
      </c>
      <c r="E53" s="25">
        <f t="shared" si="2"/>
        <v>141498.97330595483</v>
      </c>
      <c r="F53" s="25">
        <f t="shared" si="3"/>
        <v>3537.474332648871</v>
      </c>
      <c r="G53" s="25">
        <f t="shared" si="4"/>
        <v>3466.7248459958937</v>
      </c>
      <c r="H53" s="25">
        <f t="shared" si="5"/>
        <v>291204.88706365507</v>
      </c>
      <c r="I53">
        <f t="shared" si="6"/>
        <v>0.29120488706365505</v>
      </c>
      <c r="J53">
        <f t="shared" si="7"/>
        <v>0.24960418891170433</v>
      </c>
      <c r="K53">
        <f>J53+'PA Frack Wells (84)'!$D$67</f>
        <v>0.29035167277599216</v>
      </c>
    </row>
    <row r="54" spans="1:12">
      <c r="A54" s="19">
        <v>42916</v>
      </c>
      <c r="B54" s="24">
        <v>222877</v>
      </c>
      <c r="C54" s="24">
        <f t="shared" si="0"/>
        <v>10744</v>
      </c>
      <c r="D54" s="24">
        <f t="shared" si="1"/>
        <v>10744000000</v>
      </c>
      <c r="E54" s="25">
        <f t="shared" si="2"/>
        <v>220616.01642710471</v>
      </c>
      <c r="F54" s="25">
        <f t="shared" si="3"/>
        <v>5515.4004106776183</v>
      </c>
      <c r="G54" s="25">
        <f t="shared" si="4"/>
        <v>5405.0924024640663</v>
      </c>
      <c r="H54" s="25">
        <f t="shared" si="5"/>
        <v>454027.76180698158</v>
      </c>
      <c r="I54">
        <f t="shared" si="6"/>
        <v>0.45402776180698157</v>
      </c>
      <c r="J54">
        <f t="shared" si="7"/>
        <v>0.38916665297741276</v>
      </c>
      <c r="K54">
        <f>J54+'PA Frack Wells (84)'!$D$67</f>
        <v>0.4299141368417006</v>
      </c>
    </row>
    <row r="55" spans="1:12">
      <c r="B55" s="24"/>
    </row>
    <row r="57" spans="1:12" ht="15" thickBot="1">
      <c r="B57" s="26" t="s">
        <v>72</v>
      </c>
      <c r="C57" s="26" t="s">
        <v>73</v>
      </c>
      <c r="D57" s="26"/>
      <c r="E57" s="27"/>
      <c r="F57" s="27"/>
      <c r="G57" s="212" t="s">
        <v>49</v>
      </c>
      <c r="H57" s="212"/>
      <c r="I57" s="212"/>
      <c r="J57" s="212"/>
      <c r="K57" s="212"/>
      <c r="L57" s="212"/>
    </row>
    <row r="58" spans="1:12">
      <c r="B58" s="20" t="s">
        <v>74</v>
      </c>
      <c r="C58" s="28">
        <f>6/7</f>
        <v>0.8571428571428571</v>
      </c>
      <c r="D58" s="29"/>
      <c r="E58" s="30"/>
      <c r="F58" s="30"/>
      <c r="G58" s="31" t="s">
        <v>75</v>
      </c>
      <c r="H58" s="32"/>
      <c r="I58" s="32"/>
      <c r="J58" s="32"/>
      <c r="K58" s="32"/>
      <c r="L58" s="32"/>
    </row>
    <row r="59" spans="1:12" ht="12.75" customHeight="1">
      <c r="G59" s="213" t="s">
        <v>50</v>
      </c>
      <c r="H59" s="213"/>
      <c r="I59" s="213"/>
      <c r="J59" s="213"/>
      <c r="K59" s="213"/>
      <c r="L59" s="213"/>
    </row>
    <row r="60" spans="1:12" ht="12.75" customHeight="1">
      <c r="B60" s="20" t="s">
        <v>51</v>
      </c>
      <c r="C60" s="20">
        <v>2.5000000000000001E-2</v>
      </c>
      <c r="G60" s="213" t="s">
        <v>52</v>
      </c>
      <c r="H60" s="213"/>
      <c r="I60" s="213"/>
      <c r="J60" s="213"/>
      <c r="K60" s="213"/>
      <c r="L60" s="213"/>
    </row>
    <row r="61" spans="1:12">
      <c r="B61" s="20" t="s">
        <v>53</v>
      </c>
      <c r="C61" s="20">
        <v>26.3</v>
      </c>
    </row>
    <row r="62" spans="1:12">
      <c r="B62" s="20" t="s">
        <v>54</v>
      </c>
      <c r="C62" s="20">
        <v>84</v>
      </c>
      <c r="G62" s="12" t="s">
        <v>81</v>
      </c>
    </row>
    <row r="63" spans="1:12" ht="12.75" customHeight="1">
      <c r="B63" s="20" t="s">
        <v>56</v>
      </c>
      <c r="C63" s="21">
        <v>48700</v>
      </c>
      <c r="D63" t="s">
        <v>57</v>
      </c>
      <c r="G63" s="213" t="s">
        <v>58</v>
      </c>
      <c r="H63" s="213"/>
      <c r="I63" s="213"/>
      <c r="J63" s="213"/>
      <c r="K63" s="213"/>
      <c r="L63" s="213"/>
    </row>
    <row r="64" spans="1:12" ht="12.75" customHeight="1">
      <c r="B64" s="20" t="s">
        <v>59</v>
      </c>
      <c r="C64" s="20">
        <v>0.98</v>
      </c>
      <c r="D64" s="3" t="s">
        <v>60</v>
      </c>
      <c r="G64" s="213"/>
      <c r="H64" s="213"/>
      <c r="I64" s="213"/>
      <c r="J64" s="213"/>
      <c r="K64" s="213"/>
    </row>
    <row r="65" spans="2:9">
      <c r="D65" s="3" t="s">
        <v>76</v>
      </c>
      <c r="G65" s="12" t="s">
        <v>77</v>
      </c>
    </row>
    <row r="68" spans="2:9">
      <c r="G68" s="12"/>
    </row>
    <row r="70" spans="2:9" ht="72" customHeight="1">
      <c r="B70" s="209" t="s">
        <v>78</v>
      </c>
      <c r="C70" s="209"/>
      <c r="D70" s="209"/>
      <c r="E70" s="209"/>
      <c r="F70" s="209"/>
      <c r="G70" s="209"/>
      <c r="H70" s="209"/>
      <c r="I70" s="209"/>
    </row>
    <row r="71" spans="2:9">
      <c r="B71" s="12" t="s">
        <v>79</v>
      </c>
    </row>
    <row r="74" spans="2:9">
      <c r="B74" s="3" t="s">
        <v>80</v>
      </c>
    </row>
    <row r="75" spans="2:9">
      <c r="B75" s="12" t="s">
        <v>77</v>
      </c>
    </row>
  </sheetData>
  <sheetProtection algorithmName="SHA-512" hashValue="CqbIWDodttfiU09zGJmXY5lEvg3TLi3hnbw+Wh36V1Swff+jAR0uv3DvhVuvmQ+S7L3RbR+97p79pB0t6pcIJg==" saltValue="iiMX97JRQQylx/31JtDzlQ==" spinCount="100000" sheet="1" objects="1" scenarios="1"/>
  <mergeCells count="7">
    <mergeCell ref="B70:I70"/>
    <mergeCell ref="L34:L43"/>
    <mergeCell ref="G57:L57"/>
    <mergeCell ref="G59:L59"/>
    <mergeCell ref="G60:L60"/>
    <mergeCell ref="G63:L63"/>
    <mergeCell ref="G64:K64"/>
  </mergeCells>
  <hyperlinks>
    <hyperlink ref="A1" location="Contents!A1" display="Back to Contents" xr:uid="{00000000-0004-0000-0500-000000000000}"/>
    <hyperlink ref="G60" r:id="rId1" xr:uid="{00000000-0004-0000-0500-000001000000}"/>
    <hyperlink ref="G62" r:id="rId2" xr:uid="{00000000-0004-0000-0500-000002000000}"/>
    <hyperlink ref="G63" r:id="rId3" xr:uid="{00000000-0004-0000-0500-000003000000}"/>
    <hyperlink ref="G65" r:id="rId4" xr:uid="{00000000-0004-0000-0500-000004000000}"/>
    <hyperlink ref="B71" r:id="rId5" xr:uid="{00000000-0004-0000-0500-000005000000}"/>
    <hyperlink ref="B75" r:id="rId6" xr:uid="{00000000-0004-0000-0500-000006000000}"/>
  </hyperlinks>
  <pageMargins left="0.70000000000000007" right="0.70000000000000007" top="1.1437000000000002" bottom="1.1437000000000002" header="0.75000000000000011" footer="0.75000000000000011"/>
  <pageSetup paperSize="0" fitToWidth="0" fitToHeight="0" orientation="portrait" horizontalDpi="0" verticalDpi="0" copies="0"/>
  <headerFooter alignWithMargins="0"/>
  <legacyDrawing r:id="rId7"/>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L75"/>
  <sheetViews>
    <sheetView topLeftCell="A34" workbookViewId="0">
      <selection activeCell="K54" sqref="K54"/>
    </sheetView>
  </sheetViews>
  <sheetFormatPr defaultRowHeight="14.25"/>
  <cols>
    <col min="1" max="1" width="14" customWidth="1"/>
    <col min="2" max="2" width="33.75" customWidth="1"/>
    <col min="3" max="3" width="9.875" customWidth="1"/>
    <col min="4" max="4" width="14" customWidth="1"/>
    <col min="5" max="5" width="10.625" customWidth="1"/>
    <col min="6" max="7" width="8.625" customWidth="1"/>
    <col min="8" max="8" width="10.5" customWidth="1"/>
    <col min="9" max="9" width="8" customWidth="1"/>
    <col min="10" max="10" width="11.125" customWidth="1"/>
    <col min="11" max="11" width="17.875" customWidth="1"/>
    <col min="12" max="12" width="25" customWidth="1"/>
    <col min="13" max="1024" width="8" customWidth="1"/>
  </cols>
  <sheetData>
    <row r="1" spans="1:11" ht="15.75">
      <c r="A1" s="23" t="s">
        <v>25</v>
      </c>
      <c r="B1" s="14" t="s">
        <v>26</v>
      </c>
    </row>
    <row r="2" spans="1:11">
      <c r="A2" s="15" t="s">
        <v>27</v>
      </c>
      <c r="B2" s="16" t="s">
        <v>28</v>
      </c>
    </row>
    <row r="3" spans="1:11" ht="51">
      <c r="A3" s="17" t="s">
        <v>38</v>
      </c>
      <c r="B3" s="18" t="s">
        <v>39</v>
      </c>
      <c r="C3" s="18" t="s">
        <v>62</v>
      </c>
      <c r="D3" s="17" t="s">
        <v>63</v>
      </c>
      <c r="E3" s="17" t="s">
        <v>64</v>
      </c>
      <c r="F3" s="17" t="s">
        <v>65</v>
      </c>
      <c r="G3" s="17" t="s">
        <v>66</v>
      </c>
      <c r="H3" s="17" t="s">
        <v>67</v>
      </c>
      <c r="I3" s="17" t="s">
        <v>68</v>
      </c>
      <c r="J3" s="17" t="s">
        <v>69</v>
      </c>
      <c r="K3" s="17" t="s">
        <v>70</v>
      </c>
    </row>
    <row r="4" spans="1:11" ht="12.75" hidden="1" customHeight="1">
      <c r="A4" s="19">
        <v>24653</v>
      </c>
    </row>
    <row r="5" spans="1:11" ht="12.75" hidden="1" customHeight="1">
      <c r="A5" s="19">
        <v>25019</v>
      </c>
    </row>
    <row r="6" spans="1:11" ht="12.75" hidden="1" customHeight="1">
      <c r="A6" s="19">
        <v>25384</v>
      </c>
    </row>
    <row r="7" spans="1:11" ht="12.75" hidden="1" customHeight="1">
      <c r="A7" s="19">
        <v>25749</v>
      </c>
    </row>
    <row r="8" spans="1:11" ht="12.75" hidden="1" customHeight="1">
      <c r="A8" s="19">
        <v>26114</v>
      </c>
    </row>
    <row r="9" spans="1:11" ht="12.75" hidden="1" customHeight="1">
      <c r="A9" s="19">
        <v>26480</v>
      </c>
    </row>
    <row r="10" spans="1:11" ht="12.75" hidden="1" customHeight="1">
      <c r="A10" s="19">
        <v>26845</v>
      </c>
    </row>
    <row r="11" spans="1:11" ht="12.75" hidden="1" customHeight="1">
      <c r="A11" s="19">
        <v>27210</v>
      </c>
    </row>
    <row r="12" spans="1:11" ht="12.75" hidden="1" customHeight="1">
      <c r="A12" s="19">
        <v>27575</v>
      </c>
    </row>
    <row r="13" spans="1:11" ht="12.75" hidden="1" customHeight="1">
      <c r="A13" s="19">
        <v>27941</v>
      </c>
    </row>
    <row r="14" spans="1:11" ht="12.75" hidden="1" customHeight="1">
      <c r="A14" s="19">
        <v>28306</v>
      </c>
    </row>
    <row r="15" spans="1:11" ht="12.75" hidden="1" customHeight="1">
      <c r="A15" s="19">
        <v>28671</v>
      </c>
    </row>
    <row r="16" spans="1:11" ht="12.75" hidden="1" customHeight="1">
      <c r="A16" s="19">
        <v>29036</v>
      </c>
    </row>
    <row r="17" spans="1:1" ht="12.75" hidden="1" customHeight="1">
      <c r="A17" s="19">
        <v>29402</v>
      </c>
    </row>
    <row r="18" spans="1:1" ht="12.75" hidden="1" customHeight="1">
      <c r="A18" s="19">
        <v>29767</v>
      </c>
    </row>
    <row r="19" spans="1:1" ht="12.75" hidden="1" customHeight="1">
      <c r="A19" s="19">
        <v>30132</v>
      </c>
    </row>
    <row r="20" spans="1:1" ht="12.75" hidden="1" customHeight="1">
      <c r="A20" s="19">
        <v>30497</v>
      </c>
    </row>
    <row r="21" spans="1:1" ht="12.75" hidden="1" customHeight="1">
      <c r="A21" s="19">
        <v>30863</v>
      </c>
    </row>
    <row r="22" spans="1:1" ht="12.75" hidden="1" customHeight="1">
      <c r="A22" s="19">
        <v>31228</v>
      </c>
    </row>
    <row r="23" spans="1:1" ht="12.75" hidden="1" customHeight="1">
      <c r="A23" s="19">
        <v>31593</v>
      </c>
    </row>
    <row r="24" spans="1:1" ht="12.75" hidden="1" customHeight="1">
      <c r="A24" s="19">
        <v>31958</v>
      </c>
    </row>
    <row r="25" spans="1:1" ht="12.75" hidden="1" customHeight="1">
      <c r="A25" s="19">
        <v>32324</v>
      </c>
    </row>
    <row r="26" spans="1:1" ht="12.75" hidden="1" customHeight="1">
      <c r="A26" s="19">
        <v>32689</v>
      </c>
    </row>
    <row r="27" spans="1:1" ht="12.75" hidden="1" customHeight="1">
      <c r="A27" s="19">
        <v>33054</v>
      </c>
    </row>
    <row r="28" spans="1:1" ht="12.75" hidden="1" customHeight="1">
      <c r="A28" s="19">
        <v>33419</v>
      </c>
    </row>
    <row r="29" spans="1:1" ht="12.75" hidden="1" customHeight="1">
      <c r="A29" s="19">
        <v>33785</v>
      </c>
    </row>
    <row r="30" spans="1:1" ht="12.75" hidden="1" customHeight="1">
      <c r="A30" s="19">
        <v>34150</v>
      </c>
    </row>
    <row r="31" spans="1:1" ht="12.75" hidden="1" customHeight="1">
      <c r="A31" s="19">
        <v>34515</v>
      </c>
    </row>
    <row r="32" spans="1:1" ht="12.75" hidden="1" customHeight="1">
      <c r="A32" s="19">
        <v>34880</v>
      </c>
    </row>
    <row r="33" spans="1:12" ht="12.75" hidden="1" customHeight="1">
      <c r="A33" s="19">
        <v>35246</v>
      </c>
    </row>
    <row r="34" spans="1:12">
      <c r="A34" s="19">
        <v>35611</v>
      </c>
      <c r="B34">
        <v>212017</v>
      </c>
      <c r="L34" s="211" t="s">
        <v>71</v>
      </c>
    </row>
    <row r="35" spans="1:12">
      <c r="A35" s="19">
        <v>35976</v>
      </c>
      <c r="B35">
        <v>188552</v>
      </c>
      <c r="L35" s="211"/>
    </row>
    <row r="36" spans="1:12">
      <c r="A36" s="19">
        <v>36341</v>
      </c>
      <c r="B36">
        <v>196350</v>
      </c>
      <c r="L36" s="211"/>
    </row>
    <row r="37" spans="1:12">
      <c r="A37" s="19">
        <v>36707</v>
      </c>
      <c r="B37">
        <v>212133</v>
      </c>
      <c r="L37" s="211"/>
    </row>
    <row r="38" spans="1:12">
      <c r="A38" s="19">
        <v>37072</v>
      </c>
      <c r="B38">
        <v>178376</v>
      </c>
      <c r="L38" s="211"/>
    </row>
    <row r="39" spans="1:12">
      <c r="A39" s="19">
        <v>37437</v>
      </c>
      <c r="B39">
        <v>196276</v>
      </c>
      <c r="L39" s="211"/>
    </row>
    <row r="40" spans="1:12">
      <c r="A40" s="19">
        <v>37802</v>
      </c>
      <c r="B40">
        <v>197024</v>
      </c>
      <c r="L40" s="211"/>
    </row>
    <row r="41" spans="1:12">
      <c r="A41" s="19">
        <v>38168</v>
      </c>
      <c r="B41">
        <v>194725</v>
      </c>
      <c r="L41" s="211"/>
    </row>
    <row r="42" spans="1:12">
      <c r="A42" s="19">
        <v>38533</v>
      </c>
      <c r="B42">
        <v>202509</v>
      </c>
      <c r="L42" s="211"/>
    </row>
    <row r="43" spans="1:12">
      <c r="A43" s="19">
        <v>38898</v>
      </c>
      <c r="B43" s="24">
        <v>182294</v>
      </c>
      <c r="C43" s="24"/>
      <c r="L43" s="211"/>
    </row>
    <row r="44" spans="1:12">
      <c r="A44" s="19">
        <v>39263</v>
      </c>
      <c r="B44" s="24">
        <v>201053</v>
      </c>
      <c r="C44" s="24">
        <f t="shared" ref="C44:C54" si="0">B44-$C$66</f>
        <v>3501.666666666657</v>
      </c>
      <c r="D44" s="24">
        <f t="shared" ref="D44:D54" si="1">C44*1000000</f>
        <v>3501666666.666657</v>
      </c>
      <c r="E44" s="25">
        <f t="shared" ref="E44:E54" si="2">D44/$C$63</f>
        <v>71902.80629705661</v>
      </c>
      <c r="F44" s="25">
        <f t="shared" ref="F44:F54" si="3">E44*$C$60</f>
        <v>1797.5701574264153</v>
      </c>
      <c r="G44" s="25">
        <f t="shared" ref="G44:G54" si="4">F44*$C$64</f>
        <v>1761.6187542778871</v>
      </c>
      <c r="H44" s="25">
        <f t="shared" ref="H44:H54" si="5">G44*$C$62</f>
        <v>49325.325119780842</v>
      </c>
      <c r="I44">
        <f t="shared" ref="I44:I54" si="6">H44/1000000</f>
        <v>4.9325325119780841E-2</v>
      </c>
      <c r="J44">
        <f t="shared" ref="J44:J54" si="7">I44*$C$58</f>
        <v>4.227885010266929E-2</v>
      </c>
      <c r="K44">
        <f>J44+'PA Frack Wells'!$D$73</f>
        <v>9.0936541630691897E-2</v>
      </c>
    </row>
    <row r="45" spans="1:12">
      <c r="A45" s="19">
        <v>39629</v>
      </c>
      <c r="B45" s="24">
        <v>196067</v>
      </c>
      <c r="C45" s="24">
        <f t="shared" si="0"/>
        <v>-1484.333333333343</v>
      </c>
      <c r="D45" s="24">
        <f t="shared" si="1"/>
        <v>-1484333333.333343</v>
      </c>
      <c r="E45" s="25">
        <f t="shared" si="2"/>
        <v>-30479.123887748316</v>
      </c>
      <c r="F45" s="25">
        <f t="shared" si="3"/>
        <v>-761.97809719370798</v>
      </c>
      <c r="G45" s="25">
        <f t="shared" si="4"/>
        <v>-746.73853524983383</v>
      </c>
      <c r="H45" s="25">
        <f t="shared" si="5"/>
        <v>-20908.678986995346</v>
      </c>
      <c r="I45">
        <f t="shared" si="6"/>
        <v>-2.0908678986995347E-2</v>
      </c>
      <c r="J45">
        <f t="shared" si="7"/>
        <v>-1.7921724845996009E-2</v>
      </c>
      <c r="K45">
        <f>J45+'PA Frack Wells'!$D$73</f>
        <v>3.0735966682026598E-2</v>
      </c>
    </row>
    <row r="46" spans="1:12">
      <c r="A46" s="19">
        <v>39994</v>
      </c>
      <c r="B46" s="24">
        <v>196510</v>
      </c>
      <c r="C46" s="24">
        <f t="shared" si="0"/>
        <v>-1041.333333333343</v>
      </c>
      <c r="D46" s="24">
        <f t="shared" si="1"/>
        <v>-1041333333.333343</v>
      </c>
      <c r="E46" s="25">
        <f t="shared" si="2"/>
        <v>-21382.614647501909</v>
      </c>
      <c r="F46" s="25">
        <f t="shared" si="3"/>
        <v>-534.56536618754774</v>
      </c>
      <c r="G46" s="25">
        <f t="shared" si="4"/>
        <v>-523.87405886379679</v>
      </c>
      <c r="H46" s="25">
        <f t="shared" si="5"/>
        <v>-14668.473648186311</v>
      </c>
      <c r="I46">
        <f t="shared" si="6"/>
        <v>-1.4668473648186311E-2</v>
      </c>
      <c r="J46">
        <f t="shared" si="7"/>
        <v>-1.2572977412731123E-2</v>
      </c>
      <c r="K46">
        <f>J46+'PA Frack Wells'!$D$73</f>
        <v>3.6084714115291489E-2</v>
      </c>
    </row>
    <row r="47" spans="1:12">
      <c r="A47" s="19">
        <v>40359</v>
      </c>
      <c r="B47" s="24">
        <v>212020</v>
      </c>
      <c r="C47" s="24">
        <f t="shared" si="0"/>
        <v>14468.666666666657</v>
      </c>
      <c r="D47" s="24">
        <f t="shared" si="1"/>
        <v>14468666666.666656</v>
      </c>
      <c r="E47" s="25">
        <f t="shared" si="2"/>
        <v>297097.87816563976</v>
      </c>
      <c r="F47" s="25">
        <f t="shared" si="3"/>
        <v>7427.4469541409944</v>
      </c>
      <c r="G47" s="25">
        <f t="shared" si="4"/>
        <v>7278.8980150581747</v>
      </c>
      <c r="H47" s="25">
        <f t="shared" si="5"/>
        <v>203809.14442162888</v>
      </c>
      <c r="I47">
        <f t="shared" si="6"/>
        <v>0.20380914442162887</v>
      </c>
      <c r="J47">
        <f t="shared" si="7"/>
        <v>0.17469355236139616</v>
      </c>
      <c r="K47">
        <f>J47+'PA Frack Wells'!$D$73</f>
        <v>0.22335124388941877</v>
      </c>
    </row>
    <row r="48" spans="1:12">
      <c r="A48" s="19">
        <v>40724</v>
      </c>
      <c r="B48" s="24">
        <v>193986</v>
      </c>
      <c r="C48" s="24">
        <f t="shared" si="0"/>
        <v>-3565.333333333343</v>
      </c>
      <c r="D48" s="24">
        <f t="shared" si="1"/>
        <v>-3565333333.333343</v>
      </c>
      <c r="E48" s="25">
        <f t="shared" si="2"/>
        <v>-73210.130047912593</v>
      </c>
      <c r="F48" s="25">
        <f t="shared" si="3"/>
        <v>-1830.253251197815</v>
      </c>
      <c r="G48" s="25">
        <f t="shared" si="4"/>
        <v>-1793.6481861738587</v>
      </c>
      <c r="H48" s="25">
        <f t="shared" si="5"/>
        <v>-50222.14921286804</v>
      </c>
      <c r="I48">
        <f t="shared" si="6"/>
        <v>-5.0222149212868043E-2</v>
      </c>
      <c r="J48">
        <f t="shared" si="7"/>
        <v>-4.3047556468172606E-2</v>
      </c>
      <c r="K48">
        <f>J48+'PA Frack Wells'!$D$73</f>
        <v>5.6101350598500022E-3</v>
      </c>
    </row>
    <row r="49" spans="1:12">
      <c r="A49" s="19">
        <v>41090</v>
      </c>
      <c r="B49" s="24">
        <v>208946</v>
      </c>
      <c r="C49" s="24">
        <f t="shared" si="0"/>
        <v>11394.666666666657</v>
      </c>
      <c r="D49" s="24">
        <f t="shared" si="1"/>
        <v>11394666666.666656</v>
      </c>
      <c r="E49" s="25">
        <f t="shared" si="2"/>
        <v>233976.72826830918</v>
      </c>
      <c r="F49" s="25">
        <f t="shared" si="3"/>
        <v>5849.41820670773</v>
      </c>
      <c r="G49" s="25">
        <f t="shared" si="4"/>
        <v>5732.4298425735751</v>
      </c>
      <c r="H49" s="25">
        <f t="shared" si="5"/>
        <v>160508.0355920601</v>
      </c>
      <c r="I49">
        <f t="shared" si="6"/>
        <v>0.16050803559206009</v>
      </c>
      <c r="J49">
        <f t="shared" si="7"/>
        <v>0.13757831622176578</v>
      </c>
      <c r="K49">
        <f>J49+'PA Frack Wells'!$D$73</f>
        <v>0.18623600774978838</v>
      </c>
    </row>
    <row r="50" spans="1:12">
      <c r="A50" s="19">
        <v>41455</v>
      </c>
      <c r="B50" s="24">
        <v>197356</v>
      </c>
      <c r="C50" s="24">
        <f t="shared" si="0"/>
        <v>-195.33333333334303</v>
      </c>
      <c r="D50" s="24">
        <f t="shared" si="1"/>
        <v>-195333333.33334303</v>
      </c>
      <c r="E50" s="25">
        <f t="shared" si="2"/>
        <v>-4010.9514031487274</v>
      </c>
      <c r="F50" s="25">
        <f t="shared" si="3"/>
        <v>-100.27378507871819</v>
      </c>
      <c r="G50" s="25">
        <f t="shared" si="4"/>
        <v>-98.268309377143822</v>
      </c>
      <c r="H50" s="25">
        <f t="shared" si="5"/>
        <v>-2751.5126625600269</v>
      </c>
      <c r="I50">
        <f t="shared" si="6"/>
        <v>-2.751512662560027E-3</v>
      </c>
      <c r="J50">
        <f t="shared" si="7"/>
        <v>-2.3584394250514514E-3</v>
      </c>
      <c r="K50">
        <f>J50+'PA Frack Wells'!$D$73</f>
        <v>4.6299252102971158E-2</v>
      </c>
    </row>
    <row r="51" spans="1:12">
      <c r="A51" s="19">
        <v>41820</v>
      </c>
      <c r="B51" s="24">
        <v>207103</v>
      </c>
      <c r="C51" s="24">
        <f t="shared" si="0"/>
        <v>9551.666666666657</v>
      </c>
      <c r="D51" s="24">
        <f t="shared" si="1"/>
        <v>9551666666.6666565</v>
      </c>
      <c r="E51" s="25">
        <f t="shared" si="2"/>
        <v>196132.78576317569</v>
      </c>
      <c r="F51" s="25">
        <f t="shared" si="3"/>
        <v>4903.3196440793927</v>
      </c>
      <c r="G51" s="25">
        <f t="shared" si="4"/>
        <v>4805.2532511978052</v>
      </c>
      <c r="H51" s="25">
        <f t="shared" si="5"/>
        <v>134547.09103353854</v>
      </c>
      <c r="I51">
        <f t="shared" si="6"/>
        <v>0.13454709103353854</v>
      </c>
      <c r="J51">
        <f t="shared" si="7"/>
        <v>0.11532607802874731</v>
      </c>
      <c r="K51">
        <f>J51+'PA Frack Wells'!$D$73</f>
        <v>0.16398376955676991</v>
      </c>
    </row>
    <row r="52" spans="1:12">
      <c r="A52" s="19">
        <v>42185</v>
      </c>
      <c r="B52" s="24">
        <v>215005</v>
      </c>
      <c r="C52" s="24">
        <f t="shared" si="0"/>
        <v>17453.666666666657</v>
      </c>
      <c r="D52" s="24">
        <f t="shared" si="1"/>
        <v>17453666666.666656</v>
      </c>
      <c r="E52" s="25">
        <f t="shared" si="2"/>
        <v>358391.51266255969</v>
      </c>
      <c r="F52" s="25">
        <f t="shared" si="3"/>
        <v>8959.7878165639922</v>
      </c>
      <c r="G52" s="25">
        <f t="shared" si="4"/>
        <v>8780.5920602327114</v>
      </c>
      <c r="H52" s="25">
        <f t="shared" si="5"/>
        <v>245856.57768651593</v>
      </c>
      <c r="I52">
        <f t="shared" si="6"/>
        <v>0.24585657768651592</v>
      </c>
      <c r="J52">
        <f t="shared" si="7"/>
        <v>0.21073420944558507</v>
      </c>
      <c r="K52">
        <f>J52+'PA Frack Wells'!$D$73</f>
        <v>0.2593919009736077</v>
      </c>
    </row>
    <row r="53" spans="1:12">
      <c r="A53" s="19">
        <v>42551</v>
      </c>
      <c r="B53" s="24">
        <v>219024</v>
      </c>
      <c r="C53" s="24">
        <f t="shared" si="0"/>
        <v>21472.666666666657</v>
      </c>
      <c r="D53" s="24">
        <f t="shared" si="1"/>
        <v>21472666666.666656</v>
      </c>
      <c r="E53" s="25">
        <f t="shared" si="2"/>
        <v>440917.18001368904</v>
      </c>
      <c r="F53" s="25">
        <f t="shared" si="3"/>
        <v>11022.929500342227</v>
      </c>
      <c r="G53" s="25">
        <f t="shared" si="4"/>
        <v>10802.470910335382</v>
      </c>
      <c r="H53" s="25">
        <f t="shared" si="5"/>
        <v>302469.18548939069</v>
      </c>
      <c r="I53">
        <f t="shared" si="6"/>
        <v>0.30246918548939067</v>
      </c>
      <c r="J53">
        <f t="shared" si="7"/>
        <v>0.25925930184804913</v>
      </c>
      <c r="K53">
        <f>J53+'PA Frack Wells'!$D$73</f>
        <v>0.30791699337607176</v>
      </c>
    </row>
    <row r="54" spans="1:12">
      <c r="A54" s="19">
        <v>42916</v>
      </c>
      <c r="B54" s="24">
        <v>222877</v>
      </c>
      <c r="C54" s="24">
        <f t="shared" si="0"/>
        <v>25325.666666666657</v>
      </c>
      <c r="D54" s="24">
        <f t="shared" si="1"/>
        <v>25325666666.666656</v>
      </c>
      <c r="E54" s="25">
        <f t="shared" si="2"/>
        <v>520034.22313483892</v>
      </c>
      <c r="F54" s="25">
        <f t="shared" si="3"/>
        <v>13000.855578370974</v>
      </c>
      <c r="G54" s="25">
        <f t="shared" si="4"/>
        <v>12740.838466803554</v>
      </c>
      <c r="H54" s="25">
        <f t="shared" si="5"/>
        <v>356743.4770704995</v>
      </c>
      <c r="I54">
        <f t="shared" si="6"/>
        <v>0.35674347707049953</v>
      </c>
      <c r="J54">
        <f t="shared" si="7"/>
        <v>0.30578012320328529</v>
      </c>
      <c r="K54">
        <f>J54+'PA Frack Wells'!$D$73</f>
        <v>0.35443781473130792</v>
      </c>
    </row>
    <row r="55" spans="1:12">
      <c r="B55" s="24"/>
    </row>
    <row r="57" spans="1:12" ht="15" thickBot="1">
      <c r="B57" s="26" t="s">
        <v>72</v>
      </c>
      <c r="C57" s="26" t="s">
        <v>73</v>
      </c>
      <c r="D57" s="26"/>
      <c r="E57" s="27"/>
      <c r="F57" s="27"/>
      <c r="G57" s="212" t="s">
        <v>49</v>
      </c>
      <c r="H57" s="212"/>
      <c r="I57" s="212"/>
      <c r="J57" s="212"/>
      <c r="K57" s="212"/>
      <c r="L57" s="212"/>
    </row>
    <row r="58" spans="1:12">
      <c r="B58" s="20" t="s">
        <v>74</v>
      </c>
      <c r="C58" s="28">
        <f>6/7</f>
        <v>0.8571428571428571</v>
      </c>
      <c r="D58" s="29"/>
      <c r="E58" s="30"/>
      <c r="F58" s="30"/>
      <c r="G58" s="31" t="s">
        <v>75</v>
      </c>
      <c r="H58" s="32"/>
      <c r="I58" s="32"/>
      <c r="J58" s="32"/>
      <c r="K58" s="32"/>
      <c r="L58" s="32"/>
    </row>
    <row r="59" spans="1:12" ht="12.75" customHeight="1">
      <c r="G59" s="213" t="s">
        <v>50</v>
      </c>
      <c r="H59" s="213"/>
      <c r="I59" s="213"/>
      <c r="J59" s="213"/>
      <c r="K59" s="213"/>
      <c r="L59" s="213"/>
    </row>
    <row r="60" spans="1:12" ht="12.75" customHeight="1">
      <c r="B60" s="20" t="s">
        <v>51</v>
      </c>
      <c r="C60" s="20">
        <v>2.5000000000000001E-2</v>
      </c>
      <c r="G60" s="213" t="s">
        <v>52</v>
      </c>
      <c r="H60" s="213"/>
      <c r="I60" s="213"/>
      <c r="J60" s="213"/>
      <c r="K60" s="213"/>
      <c r="L60" s="213"/>
    </row>
    <row r="61" spans="1:12">
      <c r="B61" s="20" t="s">
        <v>53</v>
      </c>
      <c r="C61" s="20">
        <v>26.3</v>
      </c>
    </row>
    <row r="62" spans="1:12">
      <c r="B62" s="20" t="s">
        <v>54</v>
      </c>
      <c r="C62" s="20">
        <v>28</v>
      </c>
      <c r="G62" t="s">
        <v>55</v>
      </c>
    </row>
    <row r="63" spans="1:12" ht="12.75" customHeight="1">
      <c r="B63" s="20" t="s">
        <v>56</v>
      </c>
      <c r="C63" s="21">
        <v>48700</v>
      </c>
      <c r="D63" t="s">
        <v>57</v>
      </c>
      <c r="G63" s="213" t="s">
        <v>58</v>
      </c>
      <c r="H63" s="213"/>
      <c r="I63" s="213"/>
      <c r="J63" s="213"/>
      <c r="K63" s="213"/>
      <c r="L63" s="213"/>
    </row>
    <row r="64" spans="1:12" ht="12.75" customHeight="1">
      <c r="B64" s="20" t="s">
        <v>59</v>
      </c>
      <c r="C64" s="20">
        <v>0.98</v>
      </c>
      <c r="D64" s="3" t="s">
        <v>60</v>
      </c>
      <c r="G64" s="213"/>
      <c r="H64" s="213"/>
      <c r="I64" s="213"/>
      <c r="J64" s="213"/>
      <c r="K64" s="213"/>
    </row>
    <row r="65" spans="2:9">
      <c r="D65" s="3" t="s">
        <v>76</v>
      </c>
      <c r="G65" s="12" t="s">
        <v>77</v>
      </c>
    </row>
    <row r="66" spans="2:9">
      <c r="B66" s="20" t="s">
        <v>82</v>
      </c>
      <c r="C66" s="20">
        <f>AVERAGE($B$34:$B$42)</f>
        <v>197551.33333333334</v>
      </c>
    </row>
    <row r="68" spans="2:9">
      <c r="G68" s="12"/>
    </row>
    <row r="70" spans="2:9" ht="72" customHeight="1">
      <c r="B70" s="209" t="s">
        <v>78</v>
      </c>
      <c r="C70" s="209"/>
      <c r="D70" s="209"/>
      <c r="E70" s="209"/>
      <c r="F70" s="209"/>
      <c r="G70" s="209"/>
      <c r="H70" s="209"/>
      <c r="I70" s="209"/>
    </row>
    <row r="71" spans="2:9">
      <c r="B71" s="12" t="s">
        <v>79</v>
      </c>
    </row>
    <row r="74" spans="2:9">
      <c r="B74" s="3" t="s">
        <v>80</v>
      </c>
    </row>
    <row r="75" spans="2:9">
      <c r="B75" s="12" t="s">
        <v>77</v>
      </c>
    </row>
  </sheetData>
  <sheetProtection algorithmName="SHA-512" hashValue="65PFhj8fUQTTnvFWdZmAhmq9iPlm5TFmq9oAXenuhrKVVwASpuQ3LqAGPzZ1iccSivXqb5kYFx7Z754FD6ObUQ==" saltValue="us+RbjylQNg+1DARedak8g==" spinCount="100000" sheet="1" objects="1" scenarios="1"/>
  <mergeCells count="7">
    <mergeCell ref="B70:I70"/>
    <mergeCell ref="L34:L43"/>
    <mergeCell ref="G57:L57"/>
    <mergeCell ref="G59:L59"/>
    <mergeCell ref="G60:L60"/>
    <mergeCell ref="G63:L63"/>
    <mergeCell ref="G64:K64"/>
  </mergeCells>
  <hyperlinks>
    <hyperlink ref="A1" location="Contents!A1" display="Back to Contents" xr:uid="{00000000-0004-0000-0600-000000000000}"/>
    <hyperlink ref="G60" r:id="rId1" xr:uid="{00000000-0004-0000-0600-000001000000}"/>
    <hyperlink ref="G63" r:id="rId2" xr:uid="{00000000-0004-0000-0600-000002000000}"/>
    <hyperlink ref="G65" r:id="rId3" xr:uid="{00000000-0004-0000-0600-000003000000}"/>
    <hyperlink ref="B71" r:id="rId4" xr:uid="{00000000-0004-0000-0600-000004000000}"/>
    <hyperlink ref="B75" r:id="rId5" xr:uid="{00000000-0004-0000-0600-000005000000}"/>
  </hyperlinks>
  <pageMargins left="0.70000000000000007" right="0.70000000000000007" top="1.1437000000000002" bottom="1.1437000000000002" header="0.75000000000000011" footer="0.75000000000000011"/>
  <pageSetup paperSize="0" fitToWidth="0" fitToHeight="0" orientation="portrait" horizontalDpi="0" verticalDpi="0" copies="0"/>
  <headerFooter alignWithMargins="0"/>
  <legacyDrawing r:id="rId6"/>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L75"/>
  <sheetViews>
    <sheetView topLeftCell="A34" workbookViewId="0">
      <selection activeCell="C54" sqref="C54"/>
    </sheetView>
  </sheetViews>
  <sheetFormatPr defaultRowHeight="14.25"/>
  <cols>
    <col min="1" max="1" width="14" customWidth="1"/>
    <col min="2" max="2" width="33.75" customWidth="1"/>
    <col min="3" max="3" width="9.875" customWidth="1"/>
    <col min="4" max="4" width="14.5" customWidth="1"/>
    <col min="5" max="5" width="9.75" customWidth="1"/>
    <col min="6" max="7" width="8.625" customWidth="1"/>
    <col min="8" max="8" width="11.125" customWidth="1"/>
    <col min="9" max="9" width="8" customWidth="1"/>
    <col min="10" max="10" width="11.125" customWidth="1"/>
    <col min="11" max="11" width="17.875" customWidth="1"/>
    <col min="12" max="12" width="25" customWidth="1"/>
    <col min="13" max="1024" width="8" customWidth="1"/>
  </cols>
  <sheetData>
    <row r="1" spans="1:11" ht="15.75">
      <c r="A1" s="23" t="s">
        <v>25</v>
      </c>
      <c r="B1" s="14" t="s">
        <v>26</v>
      </c>
    </row>
    <row r="2" spans="1:11">
      <c r="A2" s="15" t="s">
        <v>27</v>
      </c>
      <c r="B2" s="16" t="s">
        <v>28</v>
      </c>
    </row>
    <row r="3" spans="1:11" ht="51">
      <c r="A3" s="17" t="s">
        <v>38</v>
      </c>
      <c r="B3" s="18" t="s">
        <v>39</v>
      </c>
      <c r="C3" s="18" t="s">
        <v>62</v>
      </c>
      <c r="D3" s="17" t="s">
        <v>63</v>
      </c>
      <c r="E3" s="17" t="s">
        <v>64</v>
      </c>
      <c r="F3" s="17" t="s">
        <v>65</v>
      </c>
      <c r="G3" s="17" t="s">
        <v>66</v>
      </c>
      <c r="H3" s="17" t="s">
        <v>67</v>
      </c>
      <c r="I3" s="17" t="s">
        <v>68</v>
      </c>
      <c r="J3" s="17" t="s">
        <v>69</v>
      </c>
      <c r="K3" s="17" t="s">
        <v>70</v>
      </c>
    </row>
    <row r="4" spans="1:11" ht="12.75" hidden="1" customHeight="1">
      <c r="A4" s="19">
        <v>24653</v>
      </c>
    </row>
    <row r="5" spans="1:11" ht="12.75" hidden="1" customHeight="1">
      <c r="A5" s="19">
        <v>25019</v>
      </c>
    </row>
    <row r="6" spans="1:11" ht="12.75" hidden="1" customHeight="1">
      <c r="A6" s="19">
        <v>25384</v>
      </c>
    </row>
    <row r="7" spans="1:11" ht="12.75" hidden="1" customHeight="1">
      <c r="A7" s="19">
        <v>25749</v>
      </c>
    </row>
    <row r="8" spans="1:11" ht="12.75" hidden="1" customHeight="1">
      <c r="A8" s="19">
        <v>26114</v>
      </c>
    </row>
    <row r="9" spans="1:11" ht="12.75" hidden="1" customHeight="1">
      <c r="A9" s="19">
        <v>26480</v>
      </c>
    </row>
    <row r="10" spans="1:11" ht="12.75" hidden="1" customHeight="1">
      <c r="A10" s="19">
        <v>26845</v>
      </c>
    </row>
    <row r="11" spans="1:11" ht="12.75" hidden="1" customHeight="1">
      <c r="A11" s="19">
        <v>27210</v>
      </c>
    </row>
    <row r="12" spans="1:11" ht="12.75" hidden="1" customHeight="1">
      <c r="A12" s="19">
        <v>27575</v>
      </c>
    </row>
    <row r="13" spans="1:11" ht="12.75" hidden="1" customHeight="1">
      <c r="A13" s="19">
        <v>27941</v>
      </c>
    </row>
    <row r="14" spans="1:11" ht="12.75" hidden="1" customHeight="1">
      <c r="A14" s="19">
        <v>28306</v>
      </c>
    </row>
    <row r="15" spans="1:11" ht="12.75" hidden="1" customHeight="1">
      <c r="A15" s="19">
        <v>28671</v>
      </c>
    </row>
    <row r="16" spans="1:11" ht="12.75" hidden="1" customHeight="1">
      <c r="A16" s="19">
        <v>29036</v>
      </c>
    </row>
    <row r="17" spans="1:1" ht="12.75" hidden="1" customHeight="1">
      <c r="A17" s="19">
        <v>29402</v>
      </c>
    </row>
    <row r="18" spans="1:1" ht="12.75" hidden="1" customHeight="1">
      <c r="A18" s="19">
        <v>29767</v>
      </c>
    </row>
    <row r="19" spans="1:1" ht="12.75" hidden="1" customHeight="1">
      <c r="A19" s="19">
        <v>30132</v>
      </c>
    </row>
    <row r="20" spans="1:1" ht="12.75" hidden="1" customHeight="1">
      <c r="A20" s="19">
        <v>30497</v>
      </c>
    </row>
    <row r="21" spans="1:1" ht="12.75" hidden="1" customHeight="1">
      <c r="A21" s="19">
        <v>30863</v>
      </c>
    </row>
    <row r="22" spans="1:1" ht="12.75" hidden="1" customHeight="1">
      <c r="A22" s="19">
        <v>31228</v>
      </c>
    </row>
    <row r="23" spans="1:1" ht="12.75" hidden="1" customHeight="1">
      <c r="A23" s="19">
        <v>31593</v>
      </c>
    </row>
    <row r="24" spans="1:1" ht="12.75" hidden="1" customHeight="1">
      <c r="A24" s="19">
        <v>31958</v>
      </c>
    </row>
    <row r="25" spans="1:1" ht="12.75" hidden="1" customHeight="1">
      <c r="A25" s="19">
        <v>32324</v>
      </c>
    </row>
    <row r="26" spans="1:1" ht="12.75" hidden="1" customHeight="1">
      <c r="A26" s="19">
        <v>32689</v>
      </c>
    </row>
    <row r="27" spans="1:1" ht="12.75" hidden="1" customHeight="1">
      <c r="A27" s="19">
        <v>33054</v>
      </c>
    </row>
    <row r="28" spans="1:1" ht="12.75" hidden="1" customHeight="1">
      <c r="A28" s="19">
        <v>33419</v>
      </c>
    </row>
    <row r="29" spans="1:1" ht="12.75" hidden="1" customHeight="1">
      <c r="A29" s="19">
        <v>33785</v>
      </c>
    </row>
    <row r="30" spans="1:1" ht="12.75" hidden="1" customHeight="1">
      <c r="A30" s="19">
        <v>34150</v>
      </c>
    </row>
    <row r="31" spans="1:1" ht="12.75" hidden="1" customHeight="1">
      <c r="A31" s="19">
        <v>34515</v>
      </c>
    </row>
    <row r="32" spans="1:1" ht="12.75" hidden="1" customHeight="1">
      <c r="A32" s="19">
        <v>34880</v>
      </c>
    </row>
    <row r="33" spans="1:12" ht="12.75" hidden="1" customHeight="1">
      <c r="A33" s="19">
        <v>35246</v>
      </c>
    </row>
    <row r="34" spans="1:12">
      <c r="A34" s="19">
        <v>35611</v>
      </c>
      <c r="B34">
        <v>212017</v>
      </c>
      <c r="L34" s="211" t="s">
        <v>71</v>
      </c>
    </row>
    <row r="35" spans="1:12">
      <c r="A35" s="19">
        <v>35976</v>
      </c>
      <c r="B35">
        <v>188552</v>
      </c>
      <c r="L35" s="211"/>
    </row>
    <row r="36" spans="1:12">
      <c r="A36" s="19">
        <v>36341</v>
      </c>
      <c r="B36">
        <v>196350</v>
      </c>
      <c r="L36" s="211"/>
    </row>
    <row r="37" spans="1:12">
      <c r="A37" s="19">
        <v>36707</v>
      </c>
      <c r="B37">
        <v>212133</v>
      </c>
      <c r="L37" s="211"/>
    </row>
    <row r="38" spans="1:12">
      <c r="A38" s="19">
        <v>37072</v>
      </c>
      <c r="B38">
        <v>178376</v>
      </c>
      <c r="L38" s="211"/>
    </row>
    <row r="39" spans="1:12">
      <c r="A39" s="19">
        <v>37437</v>
      </c>
      <c r="B39">
        <v>196276</v>
      </c>
      <c r="L39" s="211"/>
    </row>
    <row r="40" spans="1:12">
      <c r="A40" s="19">
        <v>37802</v>
      </c>
      <c r="B40">
        <v>197024</v>
      </c>
      <c r="L40" s="211"/>
    </row>
    <row r="41" spans="1:12">
      <c r="A41" s="19">
        <v>38168</v>
      </c>
      <c r="B41">
        <v>194725</v>
      </c>
      <c r="L41" s="211"/>
    </row>
    <row r="42" spans="1:12">
      <c r="A42" s="19">
        <v>38533</v>
      </c>
      <c r="B42">
        <v>202509</v>
      </c>
      <c r="L42" s="211"/>
    </row>
    <row r="43" spans="1:12">
      <c r="A43" s="19">
        <v>38898</v>
      </c>
      <c r="B43" s="24">
        <v>182294</v>
      </c>
      <c r="C43" s="24"/>
      <c r="L43" s="211"/>
    </row>
    <row r="44" spans="1:12">
      <c r="A44" s="19">
        <v>39263</v>
      </c>
      <c r="B44" s="24">
        <v>201053</v>
      </c>
      <c r="C44" s="24">
        <f t="shared" ref="C44:C54" si="0">B44-$C$66</f>
        <v>3501.666666666657</v>
      </c>
      <c r="D44" s="24">
        <f t="shared" ref="D44:D54" si="1">C44*1000000</f>
        <v>3501666666.666657</v>
      </c>
      <c r="E44" s="25">
        <f t="shared" ref="E44:E54" si="2">D44/$C$63</f>
        <v>71902.80629705661</v>
      </c>
      <c r="F44" s="25">
        <f t="shared" ref="F44:F54" si="3">E44*$C$60</f>
        <v>1797.5701574264153</v>
      </c>
      <c r="G44" s="25">
        <f t="shared" ref="G44:G54" si="4">F44*$C$64</f>
        <v>1761.6187542778871</v>
      </c>
      <c r="H44" s="25">
        <f t="shared" ref="H44:H54" si="5">G44*$C$62</f>
        <v>147975.97535934253</v>
      </c>
      <c r="I44">
        <f t="shared" ref="I44:I54" si="6">H44/1000000</f>
        <v>0.14797597535934254</v>
      </c>
      <c r="J44">
        <f t="shared" ref="J44:J54" si="7">I44*$C$58</f>
        <v>0.12683655030800789</v>
      </c>
      <c r="K44">
        <f>J44+'PA Frack Wells (84)'!$D$73</f>
        <v>0.17814388270928258</v>
      </c>
    </row>
    <row r="45" spans="1:12">
      <c r="A45" s="19">
        <v>39629</v>
      </c>
      <c r="B45" s="24">
        <v>196067</v>
      </c>
      <c r="C45" s="24">
        <f t="shared" si="0"/>
        <v>-1484.333333333343</v>
      </c>
      <c r="D45" s="24">
        <f t="shared" si="1"/>
        <v>-1484333333.333343</v>
      </c>
      <c r="E45" s="25">
        <f t="shared" si="2"/>
        <v>-30479.123887748316</v>
      </c>
      <c r="F45" s="25">
        <f t="shared" si="3"/>
        <v>-761.97809719370798</v>
      </c>
      <c r="G45" s="25">
        <f t="shared" si="4"/>
        <v>-746.73853524983383</v>
      </c>
      <c r="H45" s="25">
        <f t="shared" si="5"/>
        <v>-62726.036960986043</v>
      </c>
      <c r="I45">
        <f t="shared" si="6"/>
        <v>-6.272603696098604E-2</v>
      </c>
      <c r="J45">
        <f t="shared" si="7"/>
        <v>-5.3765174537988028E-2</v>
      </c>
      <c r="K45">
        <f>J45+'PA Frack Wells (84)'!$D$73</f>
        <v>-2.4578421367133368E-3</v>
      </c>
    </row>
    <row r="46" spans="1:12">
      <c r="A46" s="19">
        <v>39994</v>
      </c>
      <c r="B46" s="24">
        <v>196510</v>
      </c>
      <c r="C46" s="24">
        <f t="shared" si="0"/>
        <v>-1041.333333333343</v>
      </c>
      <c r="D46" s="24">
        <f t="shared" si="1"/>
        <v>-1041333333.333343</v>
      </c>
      <c r="E46" s="25">
        <f t="shared" si="2"/>
        <v>-21382.614647501909</v>
      </c>
      <c r="F46" s="25">
        <f t="shared" si="3"/>
        <v>-534.56536618754774</v>
      </c>
      <c r="G46" s="25">
        <f t="shared" si="4"/>
        <v>-523.87405886379679</v>
      </c>
      <c r="H46" s="25">
        <f t="shared" si="5"/>
        <v>-44005.420944558929</v>
      </c>
      <c r="I46">
        <f t="shared" si="6"/>
        <v>-4.4005420944558928E-2</v>
      </c>
      <c r="J46">
        <f t="shared" si="7"/>
        <v>-3.7718932238193364E-2</v>
      </c>
      <c r="K46">
        <f>J46+'PA Frack Wells (84)'!$D$73</f>
        <v>1.3588400163081327E-2</v>
      </c>
    </row>
    <row r="47" spans="1:12">
      <c r="A47" s="19">
        <v>40359</v>
      </c>
      <c r="B47" s="24">
        <v>212020</v>
      </c>
      <c r="C47" s="24">
        <f t="shared" si="0"/>
        <v>14468.666666666657</v>
      </c>
      <c r="D47" s="24">
        <f t="shared" si="1"/>
        <v>14468666666.666656</v>
      </c>
      <c r="E47" s="25">
        <f t="shared" si="2"/>
        <v>297097.87816563976</v>
      </c>
      <c r="F47" s="25">
        <f t="shared" si="3"/>
        <v>7427.4469541409944</v>
      </c>
      <c r="G47" s="25">
        <f t="shared" si="4"/>
        <v>7278.8980150581747</v>
      </c>
      <c r="H47" s="25">
        <f t="shared" si="5"/>
        <v>611427.43326488673</v>
      </c>
      <c r="I47">
        <f t="shared" si="6"/>
        <v>0.61142743326488669</v>
      </c>
      <c r="J47">
        <f t="shared" si="7"/>
        <v>0.52408065708418861</v>
      </c>
      <c r="K47">
        <f>J47+'PA Frack Wells (84)'!$D$73</f>
        <v>0.57538798948546332</v>
      </c>
    </row>
    <row r="48" spans="1:12">
      <c r="A48" s="19">
        <v>40724</v>
      </c>
      <c r="B48" s="24">
        <v>193986</v>
      </c>
      <c r="C48" s="24">
        <f t="shared" si="0"/>
        <v>-3565.333333333343</v>
      </c>
      <c r="D48" s="24">
        <f t="shared" si="1"/>
        <v>-3565333333.333343</v>
      </c>
      <c r="E48" s="25">
        <f t="shared" si="2"/>
        <v>-73210.130047912593</v>
      </c>
      <c r="F48" s="25">
        <f t="shared" si="3"/>
        <v>-1830.253251197815</v>
      </c>
      <c r="G48" s="25">
        <f t="shared" si="4"/>
        <v>-1793.6481861738587</v>
      </c>
      <c r="H48" s="25">
        <f t="shared" si="5"/>
        <v>-150666.44763860412</v>
      </c>
      <c r="I48">
        <f t="shared" si="6"/>
        <v>-0.15066644763860412</v>
      </c>
      <c r="J48">
        <f t="shared" si="7"/>
        <v>-0.12914266940451782</v>
      </c>
      <c r="K48">
        <f>J48+'PA Frack Wells (84)'!$D$73</f>
        <v>-7.7835337003243132E-2</v>
      </c>
    </row>
    <row r="49" spans="1:12">
      <c r="A49" s="19">
        <v>41090</v>
      </c>
      <c r="B49" s="24">
        <v>208946</v>
      </c>
      <c r="C49" s="24">
        <f t="shared" si="0"/>
        <v>11394.666666666657</v>
      </c>
      <c r="D49" s="24">
        <f t="shared" si="1"/>
        <v>11394666666.666656</v>
      </c>
      <c r="E49" s="25">
        <f t="shared" si="2"/>
        <v>233976.72826830918</v>
      </c>
      <c r="F49" s="25">
        <f t="shared" si="3"/>
        <v>5849.41820670773</v>
      </c>
      <c r="G49" s="25">
        <f t="shared" si="4"/>
        <v>5732.4298425735751</v>
      </c>
      <c r="H49" s="25">
        <f t="shared" si="5"/>
        <v>481524.10677618033</v>
      </c>
      <c r="I49">
        <f t="shared" si="6"/>
        <v>0.48152410677618035</v>
      </c>
      <c r="J49">
        <f t="shared" si="7"/>
        <v>0.41273494866529742</v>
      </c>
      <c r="K49">
        <f>J49+'PA Frack Wells (84)'!$D$73</f>
        <v>0.46404228106657208</v>
      </c>
    </row>
    <row r="50" spans="1:12">
      <c r="A50" s="19">
        <v>41455</v>
      </c>
      <c r="B50" s="24">
        <v>197356</v>
      </c>
      <c r="C50" s="24">
        <f t="shared" si="0"/>
        <v>-195.33333333334303</v>
      </c>
      <c r="D50" s="24">
        <f t="shared" si="1"/>
        <v>-195333333.33334303</v>
      </c>
      <c r="E50" s="25">
        <f t="shared" si="2"/>
        <v>-4010.9514031487274</v>
      </c>
      <c r="F50" s="25">
        <f t="shared" si="3"/>
        <v>-100.27378507871819</v>
      </c>
      <c r="G50" s="25">
        <f t="shared" si="4"/>
        <v>-98.268309377143822</v>
      </c>
      <c r="H50" s="25">
        <f t="shared" si="5"/>
        <v>-8254.5379876800816</v>
      </c>
      <c r="I50">
        <f t="shared" si="6"/>
        <v>-8.2545379876800811E-3</v>
      </c>
      <c r="J50">
        <f t="shared" si="7"/>
        <v>-7.0753182751543547E-3</v>
      </c>
      <c r="K50">
        <f>J50+'PA Frack Wells (84)'!$D$73</f>
        <v>4.4232014126120336E-2</v>
      </c>
    </row>
    <row r="51" spans="1:12">
      <c r="A51" s="19">
        <v>41820</v>
      </c>
      <c r="B51" s="24">
        <v>207103</v>
      </c>
      <c r="C51" s="24">
        <f t="shared" si="0"/>
        <v>9551.666666666657</v>
      </c>
      <c r="D51" s="24">
        <f t="shared" si="1"/>
        <v>9551666666.6666565</v>
      </c>
      <c r="E51" s="25">
        <f t="shared" si="2"/>
        <v>196132.78576317569</v>
      </c>
      <c r="F51" s="25">
        <f t="shared" si="3"/>
        <v>4903.3196440793927</v>
      </c>
      <c r="G51" s="25">
        <f t="shared" si="4"/>
        <v>4805.2532511978052</v>
      </c>
      <c r="H51" s="25">
        <f t="shared" si="5"/>
        <v>403641.27310061565</v>
      </c>
      <c r="I51">
        <f t="shared" si="6"/>
        <v>0.40364127310061565</v>
      </c>
      <c r="J51">
        <f t="shared" si="7"/>
        <v>0.34597823408624195</v>
      </c>
      <c r="K51">
        <f>J51+'PA Frack Wells (84)'!$D$73</f>
        <v>0.39728556648751667</v>
      </c>
    </row>
    <row r="52" spans="1:12">
      <c r="A52" s="19">
        <v>42185</v>
      </c>
      <c r="B52" s="24">
        <v>215005</v>
      </c>
      <c r="C52" s="24">
        <f t="shared" si="0"/>
        <v>17453.666666666657</v>
      </c>
      <c r="D52" s="24">
        <f t="shared" si="1"/>
        <v>17453666666.666656</v>
      </c>
      <c r="E52" s="25">
        <f t="shared" si="2"/>
        <v>358391.51266255969</v>
      </c>
      <c r="F52" s="25">
        <f t="shared" si="3"/>
        <v>8959.7878165639922</v>
      </c>
      <c r="G52" s="25">
        <f t="shared" si="4"/>
        <v>8780.5920602327114</v>
      </c>
      <c r="H52" s="25">
        <f t="shared" si="5"/>
        <v>737569.73305954773</v>
      </c>
      <c r="I52">
        <f t="shared" si="6"/>
        <v>0.73756973305954776</v>
      </c>
      <c r="J52">
        <f t="shared" si="7"/>
        <v>0.63220262833675522</v>
      </c>
      <c r="K52">
        <f>J52+'PA Frack Wells (84)'!$D$73</f>
        <v>0.68350996073802994</v>
      </c>
    </row>
    <row r="53" spans="1:12">
      <c r="A53" s="19">
        <v>42551</v>
      </c>
      <c r="B53" s="24">
        <v>219024</v>
      </c>
      <c r="C53" s="24">
        <f t="shared" si="0"/>
        <v>21472.666666666657</v>
      </c>
      <c r="D53" s="24">
        <f t="shared" si="1"/>
        <v>21472666666.666656</v>
      </c>
      <c r="E53" s="25">
        <f t="shared" si="2"/>
        <v>440917.18001368904</v>
      </c>
      <c r="F53" s="25">
        <f t="shared" si="3"/>
        <v>11022.929500342227</v>
      </c>
      <c r="G53" s="25">
        <f t="shared" si="4"/>
        <v>10802.470910335382</v>
      </c>
      <c r="H53" s="25">
        <f t="shared" si="5"/>
        <v>907407.556468172</v>
      </c>
      <c r="I53">
        <f t="shared" si="6"/>
        <v>0.90740755646817195</v>
      </c>
      <c r="J53">
        <f t="shared" si="7"/>
        <v>0.77777790554414739</v>
      </c>
      <c r="K53">
        <f>J53+'PA Frack Wells (84)'!$D$73</f>
        <v>0.8290852379454221</v>
      </c>
    </row>
    <row r="54" spans="1:12">
      <c r="A54" s="19">
        <v>42916</v>
      </c>
      <c r="B54" s="24">
        <v>222877</v>
      </c>
      <c r="C54" s="24">
        <f t="shared" si="0"/>
        <v>25325.666666666657</v>
      </c>
      <c r="D54" s="24">
        <f t="shared" si="1"/>
        <v>25325666666.666656</v>
      </c>
      <c r="E54" s="25">
        <f t="shared" si="2"/>
        <v>520034.22313483892</v>
      </c>
      <c r="F54" s="25">
        <f t="shared" si="3"/>
        <v>13000.855578370974</v>
      </c>
      <c r="G54" s="25">
        <f t="shared" si="4"/>
        <v>12740.838466803554</v>
      </c>
      <c r="H54" s="25">
        <f t="shared" si="5"/>
        <v>1070230.4312114986</v>
      </c>
      <c r="I54">
        <f t="shared" si="6"/>
        <v>1.0702304312114985</v>
      </c>
      <c r="J54">
        <f t="shared" si="7"/>
        <v>0.91734036960985588</v>
      </c>
      <c r="K54">
        <f>J54+'PA Frack Wells (84)'!$D$73</f>
        <v>0.9686477020111306</v>
      </c>
    </row>
    <row r="55" spans="1:12">
      <c r="B55" s="24"/>
    </row>
    <row r="57" spans="1:12" ht="15" thickBot="1">
      <c r="B57" s="26" t="s">
        <v>72</v>
      </c>
      <c r="C57" s="26" t="s">
        <v>73</v>
      </c>
      <c r="D57" s="26"/>
      <c r="E57" s="27"/>
      <c r="F57" s="27"/>
      <c r="G57" s="212" t="s">
        <v>49</v>
      </c>
      <c r="H57" s="212"/>
      <c r="I57" s="212"/>
      <c r="J57" s="212"/>
      <c r="K57" s="212"/>
      <c r="L57" s="212"/>
    </row>
    <row r="58" spans="1:12">
      <c r="B58" s="20" t="s">
        <v>74</v>
      </c>
      <c r="C58" s="28">
        <f>6/7</f>
        <v>0.8571428571428571</v>
      </c>
      <c r="D58" s="29"/>
      <c r="E58" s="30"/>
      <c r="F58" s="30"/>
      <c r="G58" s="31" t="s">
        <v>75</v>
      </c>
      <c r="H58" s="32"/>
      <c r="I58" s="32"/>
      <c r="J58" s="32"/>
      <c r="K58" s="32"/>
      <c r="L58" s="32"/>
    </row>
    <row r="59" spans="1:12" ht="12.75" customHeight="1">
      <c r="G59" s="213" t="s">
        <v>50</v>
      </c>
      <c r="H59" s="213"/>
      <c r="I59" s="213"/>
      <c r="J59" s="213"/>
      <c r="K59" s="213"/>
      <c r="L59" s="213"/>
    </row>
    <row r="60" spans="1:12" ht="12.75" customHeight="1">
      <c r="B60" s="20" t="s">
        <v>51</v>
      </c>
      <c r="C60" s="20">
        <v>2.5000000000000001E-2</v>
      </c>
      <c r="G60" s="213" t="s">
        <v>52</v>
      </c>
      <c r="H60" s="213"/>
      <c r="I60" s="213"/>
      <c r="J60" s="213"/>
      <c r="K60" s="213"/>
      <c r="L60" s="213"/>
    </row>
    <row r="61" spans="1:12">
      <c r="B61" s="20" t="s">
        <v>53</v>
      </c>
      <c r="C61" s="20">
        <v>26.3</v>
      </c>
    </row>
    <row r="62" spans="1:12">
      <c r="B62" s="20" t="s">
        <v>54</v>
      </c>
      <c r="C62" s="20">
        <v>84</v>
      </c>
      <c r="G62" s="12" t="s">
        <v>81</v>
      </c>
    </row>
    <row r="63" spans="1:12" ht="12.75" customHeight="1">
      <c r="B63" s="20" t="s">
        <v>56</v>
      </c>
      <c r="C63" s="21">
        <v>48700</v>
      </c>
      <c r="D63" t="s">
        <v>57</v>
      </c>
      <c r="G63" s="213" t="s">
        <v>58</v>
      </c>
      <c r="H63" s="213"/>
      <c r="I63" s="213"/>
      <c r="J63" s="213"/>
      <c r="K63" s="213"/>
      <c r="L63" s="213"/>
    </row>
    <row r="64" spans="1:12" ht="12.75" customHeight="1">
      <c r="B64" s="20" t="s">
        <v>59</v>
      </c>
      <c r="C64" s="20">
        <v>0.98</v>
      </c>
      <c r="D64" s="3" t="s">
        <v>60</v>
      </c>
      <c r="G64" s="213"/>
      <c r="H64" s="213"/>
      <c r="I64" s="213"/>
      <c r="J64" s="213"/>
      <c r="K64" s="213"/>
    </row>
    <row r="65" spans="2:9">
      <c r="D65" s="3" t="s">
        <v>76</v>
      </c>
      <c r="G65" s="12" t="s">
        <v>77</v>
      </c>
    </row>
    <row r="66" spans="2:9">
      <c r="B66" s="20" t="s">
        <v>82</v>
      </c>
      <c r="C66" s="20">
        <f>AVERAGE($B$34:$B$42)</f>
        <v>197551.33333333334</v>
      </c>
    </row>
    <row r="68" spans="2:9">
      <c r="G68" s="12"/>
    </row>
    <row r="70" spans="2:9" ht="72" customHeight="1">
      <c r="B70" s="209" t="s">
        <v>78</v>
      </c>
      <c r="C70" s="209"/>
      <c r="D70" s="209"/>
      <c r="E70" s="209"/>
      <c r="F70" s="209"/>
      <c r="G70" s="209"/>
      <c r="H70" s="209"/>
      <c r="I70" s="209"/>
    </row>
    <row r="71" spans="2:9">
      <c r="B71" s="12" t="s">
        <v>79</v>
      </c>
    </row>
    <row r="74" spans="2:9">
      <c r="B74" s="3" t="s">
        <v>80</v>
      </c>
    </row>
    <row r="75" spans="2:9">
      <c r="B75" s="12" t="s">
        <v>77</v>
      </c>
    </row>
  </sheetData>
  <sheetProtection algorithmName="SHA-512" hashValue="nka1LGOLHwqKr7GJie0rtxVrloM/g1WUiJeJ72rzN+qqPqKZeCtr+KgI3+oFflxk1fB5LJMmqyJRYyPB6/G9ug==" saltValue="zotlmuFOEb2c8FliVPqI9Q==" spinCount="100000" sheet="1" objects="1" scenarios="1"/>
  <mergeCells count="7">
    <mergeCell ref="B70:I70"/>
    <mergeCell ref="L34:L43"/>
    <mergeCell ref="G57:L57"/>
    <mergeCell ref="G59:L59"/>
    <mergeCell ref="G60:L60"/>
    <mergeCell ref="G63:L63"/>
    <mergeCell ref="G64:K64"/>
  </mergeCells>
  <hyperlinks>
    <hyperlink ref="A1" location="Contents!A1" display="Back to Contents" xr:uid="{00000000-0004-0000-0700-000000000000}"/>
    <hyperlink ref="G60" r:id="rId1" xr:uid="{00000000-0004-0000-0700-000001000000}"/>
    <hyperlink ref="G62" r:id="rId2" xr:uid="{00000000-0004-0000-0700-000002000000}"/>
    <hyperlink ref="G63" r:id="rId3" xr:uid="{00000000-0004-0000-0700-000003000000}"/>
    <hyperlink ref="G65" r:id="rId4" xr:uid="{00000000-0004-0000-0700-000004000000}"/>
    <hyperlink ref="B71" r:id="rId5" xr:uid="{00000000-0004-0000-0700-000005000000}"/>
    <hyperlink ref="B75" r:id="rId6" xr:uid="{00000000-0004-0000-0700-000006000000}"/>
  </hyperlinks>
  <pageMargins left="0.70000000000000007" right="0.70000000000000007" top="1.1437000000000002" bottom="1.1437000000000002" header="0.75000000000000011" footer="0.75000000000000011"/>
  <pageSetup paperSize="0" fitToWidth="0" fitToHeight="0" orientation="portrait" horizontalDpi="0" verticalDpi="0" copies="0"/>
  <headerFooter alignWithMargins="0"/>
  <legacyDrawing r:id="rId7"/>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L75"/>
  <sheetViews>
    <sheetView topLeftCell="A37" workbookViewId="0">
      <selection activeCell="D64" sqref="D64"/>
    </sheetView>
  </sheetViews>
  <sheetFormatPr defaultRowHeight="14.25"/>
  <cols>
    <col min="1" max="1" width="14" customWidth="1"/>
    <col min="2" max="2" width="40.125" customWidth="1"/>
    <col min="3" max="3" width="9.875" customWidth="1"/>
    <col min="4" max="4" width="14.125" customWidth="1"/>
    <col min="5" max="5" width="12.125" customWidth="1"/>
    <col min="6" max="7" width="8.625" customWidth="1"/>
    <col min="8" max="8" width="11.625" customWidth="1"/>
    <col min="9" max="10" width="8" customWidth="1"/>
    <col min="11" max="11" width="17.875" customWidth="1"/>
    <col min="12" max="12" width="25" customWidth="1"/>
    <col min="13" max="1024" width="8" customWidth="1"/>
  </cols>
  <sheetData>
    <row r="1" spans="1:11" ht="15.75">
      <c r="A1" s="23" t="s">
        <v>25</v>
      </c>
      <c r="B1" s="14" t="s">
        <v>26</v>
      </c>
    </row>
    <row r="2" spans="1:11">
      <c r="A2" s="15" t="s">
        <v>27</v>
      </c>
      <c r="B2" s="16" t="s">
        <v>28</v>
      </c>
    </row>
    <row r="3" spans="1:11" ht="51">
      <c r="A3" s="17" t="s">
        <v>38</v>
      </c>
      <c r="B3" s="18" t="s">
        <v>39</v>
      </c>
      <c r="C3" s="33" t="s">
        <v>83</v>
      </c>
      <c r="D3" s="17" t="s">
        <v>63</v>
      </c>
      <c r="E3" s="17" t="s">
        <v>64</v>
      </c>
      <c r="F3" s="17" t="s">
        <v>65</v>
      </c>
      <c r="G3" s="17" t="s">
        <v>66</v>
      </c>
      <c r="H3" s="17" t="s">
        <v>67</v>
      </c>
      <c r="I3" s="17" t="s">
        <v>68</v>
      </c>
      <c r="J3" s="17" t="s">
        <v>69</v>
      </c>
      <c r="K3" s="17" t="s">
        <v>70</v>
      </c>
    </row>
    <row r="4" spans="1:11" hidden="1">
      <c r="A4" s="19">
        <v>24653</v>
      </c>
    </row>
    <row r="5" spans="1:11" hidden="1">
      <c r="A5" s="19">
        <v>25019</v>
      </c>
    </row>
    <row r="6" spans="1:11" hidden="1">
      <c r="A6" s="19">
        <v>25384</v>
      </c>
    </row>
    <row r="7" spans="1:11" hidden="1">
      <c r="A7" s="19">
        <v>25749</v>
      </c>
    </row>
    <row r="8" spans="1:11" hidden="1">
      <c r="A8" s="19">
        <v>26114</v>
      </c>
    </row>
    <row r="9" spans="1:11" hidden="1">
      <c r="A9" s="19">
        <v>26480</v>
      </c>
    </row>
    <row r="10" spans="1:11" hidden="1">
      <c r="A10" s="19">
        <v>26845</v>
      </c>
    </row>
    <row r="11" spans="1:11" hidden="1">
      <c r="A11" s="19">
        <v>27210</v>
      </c>
    </row>
    <row r="12" spans="1:11" hidden="1">
      <c r="A12" s="19">
        <v>27575</v>
      </c>
    </row>
    <row r="13" spans="1:11" hidden="1">
      <c r="A13" s="19">
        <v>27941</v>
      </c>
    </row>
    <row r="14" spans="1:11" hidden="1">
      <c r="A14" s="19">
        <v>28306</v>
      </c>
    </row>
    <row r="15" spans="1:11" hidden="1">
      <c r="A15" s="19">
        <v>28671</v>
      </c>
    </row>
    <row r="16" spans="1:11" hidden="1">
      <c r="A16" s="19">
        <v>29036</v>
      </c>
    </row>
    <row r="17" spans="1:1" hidden="1">
      <c r="A17" s="19">
        <v>29402</v>
      </c>
    </row>
    <row r="18" spans="1:1" hidden="1">
      <c r="A18" s="19">
        <v>29767</v>
      </c>
    </row>
    <row r="19" spans="1:1" hidden="1">
      <c r="A19" s="19">
        <v>30132</v>
      </c>
    </row>
    <row r="20" spans="1:1" hidden="1">
      <c r="A20" s="19">
        <v>30497</v>
      </c>
    </row>
    <row r="21" spans="1:1" hidden="1">
      <c r="A21" s="19">
        <v>30863</v>
      </c>
    </row>
    <row r="22" spans="1:1" hidden="1">
      <c r="A22" s="19">
        <v>31228</v>
      </c>
    </row>
    <row r="23" spans="1:1" hidden="1">
      <c r="A23" s="19">
        <v>31593</v>
      </c>
    </row>
    <row r="24" spans="1:1" hidden="1">
      <c r="A24" s="19">
        <v>31958</v>
      </c>
    </row>
    <row r="25" spans="1:1" hidden="1">
      <c r="A25" s="19">
        <v>32324</v>
      </c>
    </row>
    <row r="26" spans="1:1" hidden="1">
      <c r="A26" s="19">
        <v>32689</v>
      </c>
    </row>
    <row r="27" spans="1:1" hidden="1">
      <c r="A27" s="19">
        <v>33054</v>
      </c>
    </row>
    <row r="28" spans="1:1" hidden="1">
      <c r="A28" s="19">
        <v>33419</v>
      </c>
    </row>
    <row r="29" spans="1:1" hidden="1">
      <c r="A29" s="19">
        <v>33785</v>
      </c>
    </row>
    <row r="30" spans="1:1" hidden="1">
      <c r="A30" s="19">
        <v>34150</v>
      </c>
    </row>
    <row r="31" spans="1:1" hidden="1">
      <c r="A31" s="19">
        <v>34515</v>
      </c>
    </row>
    <row r="32" spans="1:1" hidden="1">
      <c r="A32" s="19">
        <v>34880</v>
      </c>
    </row>
    <row r="33" spans="1:12" hidden="1">
      <c r="A33" s="19">
        <v>35246</v>
      </c>
    </row>
    <row r="34" spans="1:12">
      <c r="A34" s="19">
        <v>35611</v>
      </c>
      <c r="B34">
        <v>212017</v>
      </c>
      <c r="L34" s="211" t="s">
        <v>71</v>
      </c>
    </row>
    <row r="35" spans="1:12">
      <c r="A35" s="19">
        <v>35976</v>
      </c>
      <c r="B35">
        <v>188552</v>
      </c>
      <c r="L35" s="211"/>
    </row>
    <row r="36" spans="1:12">
      <c r="A36" s="19">
        <v>36341</v>
      </c>
      <c r="B36">
        <v>196350</v>
      </c>
      <c r="L36" s="211"/>
    </row>
    <row r="37" spans="1:12">
      <c r="A37" s="19">
        <v>36707</v>
      </c>
      <c r="B37">
        <v>212133</v>
      </c>
      <c r="L37" s="211"/>
    </row>
    <row r="38" spans="1:12">
      <c r="A38" s="19">
        <v>37072</v>
      </c>
      <c r="B38">
        <v>178376</v>
      </c>
      <c r="L38" s="211"/>
    </row>
    <row r="39" spans="1:12">
      <c r="A39" s="19">
        <v>37437</v>
      </c>
      <c r="B39">
        <v>196276</v>
      </c>
      <c r="L39" s="211"/>
    </row>
    <row r="40" spans="1:12">
      <c r="A40" s="19">
        <v>37802</v>
      </c>
      <c r="B40">
        <v>197024</v>
      </c>
      <c r="L40" s="211"/>
    </row>
    <row r="41" spans="1:12">
      <c r="A41" s="19">
        <v>38168</v>
      </c>
      <c r="B41">
        <v>194725</v>
      </c>
      <c r="L41" s="211"/>
    </row>
    <row r="42" spans="1:12">
      <c r="A42" s="19">
        <v>38533</v>
      </c>
      <c r="B42">
        <v>202509</v>
      </c>
      <c r="L42" s="211"/>
    </row>
    <row r="43" spans="1:12">
      <c r="A43" s="19">
        <v>38898</v>
      </c>
      <c r="B43" s="24">
        <v>182294</v>
      </c>
      <c r="C43" s="24"/>
      <c r="L43" s="211"/>
    </row>
    <row r="44" spans="1:12">
      <c r="A44" s="19">
        <v>39263</v>
      </c>
      <c r="B44" s="24">
        <v>201053</v>
      </c>
      <c r="C44" s="24">
        <f t="shared" ref="C44:C54" si="0">B44*0.67</f>
        <v>134705.51</v>
      </c>
      <c r="D44" s="24">
        <f t="shared" ref="D44:D54" si="1">C44*1000000</f>
        <v>134705510000.00002</v>
      </c>
      <c r="E44" s="25">
        <f t="shared" ref="E44:E54" si="2">D44/$C$63</f>
        <v>2766026.899383984</v>
      </c>
      <c r="F44" s="25">
        <f t="shared" ref="F44:F54" si="3">E44*$C$60</f>
        <v>69150.672484599607</v>
      </c>
      <c r="G44" s="25">
        <f t="shared" ref="G44:G54" si="4">F44*$C$64</f>
        <v>67767.659034907614</v>
      </c>
      <c r="H44" s="25">
        <f t="shared" ref="H44:H54" si="5">G44*$C$62</f>
        <v>1897494.4529774133</v>
      </c>
      <c r="I44">
        <f t="shared" ref="I44:I54" si="6">H44/1000000</f>
        <v>1.8974944529774134</v>
      </c>
      <c r="J44">
        <f t="shared" ref="J44:J54" si="7">I44*$C$58</f>
        <v>1.6264238168377827</v>
      </c>
      <c r="K44">
        <f>J44+'PA Frack Wells'!$D$79</f>
        <v>1.7489617331686917</v>
      </c>
    </row>
    <row r="45" spans="1:12">
      <c r="A45" s="19">
        <v>39629</v>
      </c>
      <c r="B45" s="24">
        <v>196067</v>
      </c>
      <c r="C45" s="24">
        <f t="shared" si="0"/>
        <v>131364.89000000001</v>
      </c>
      <c r="D45" s="24">
        <f t="shared" si="1"/>
        <v>131364890000.00002</v>
      </c>
      <c r="E45" s="25">
        <f t="shared" si="2"/>
        <v>2697431.0061601647</v>
      </c>
      <c r="F45" s="25">
        <f t="shared" si="3"/>
        <v>67435.775154004121</v>
      </c>
      <c r="G45" s="25">
        <f t="shared" si="4"/>
        <v>66087.059650924042</v>
      </c>
      <c r="H45" s="25">
        <f t="shared" si="5"/>
        <v>1850437.6702258731</v>
      </c>
      <c r="I45">
        <f t="shared" si="6"/>
        <v>1.8504376702258731</v>
      </c>
      <c r="J45">
        <f t="shared" si="7"/>
        <v>1.586089431622177</v>
      </c>
      <c r="K45">
        <f>J45+'PA Frack Wells'!$D$79</f>
        <v>1.708627347953086</v>
      </c>
    </row>
    <row r="46" spans="1:12">
      <c r="A46" s="19">
        <v>39994</v>
      </c>
      <c r="B46" s="24">
        <v>196510</v>
      </c>
      <c r="C46" s="24">
        <f t="shared" si="0"/>
        <v>131661.70000000001</v>
      </c>
      <c r="D46" s="24">
        <f t="shared" si="1"/>
        <v>131661700000.00002</v>
      </c>
      <c r="E46" s="25">
        <f t="shared" si="2"/>
        <v>2703525.6673511295</v>
      </c>
      <c r="F46" s="25">
        <f t="shared" si="3"/>
        <v>67588.141683778245</v>
      </c>
      <c r="G46" s="25">
        <f t="shared" si="4"/>
        <v>66236.378850102672</v>
      </c>
      <c r="H46" s="25">
        <f t="shared" si="5"/>
        <v>1854618.6078028749</v>
      </c>
      <c r="I46">
        <f t="shared" si="6"/>
        <v>1.8546186078028748</v>
      </c>
      <c r="J46">
        <f t="shared" si="7"/>
        <v>1.589673092402464</v>
      </c>
      <c r="K46">
        <f>J46+'PA Frack Wells'!$D$79</f>
        <v>1.7122110087333731</v>
      </c>
    </row>
    <row r="47" spans="1:12">
      <c r="A47" s="19">
        <v>40359</v>
      </c>
      <c r="B47" s="24">
        <v>212020</v>
      </c>
      <c r="C47" s="24">
        <f t="shared" si="0"/>
        <v>142053.4</v>
      </c>
      <c r="D47" s="24">
        <f t="shared" si="1"/>
        <v>142053400000</v>
      </c>
      <c r="E47" s="25">
        <f t="shared" si="2"/>
        <v>2916907.5975359343</v>
      </c>
      <c r="F47" s="25">
        <f t="shared" si="3"/>
        <v>72922.689938398355</v>
      </c>
      <c r="G47" s="25">
        <f t="shared" si="4"/>
        <v>71464.23613963039</v>
      </c>
      <c r="H47" s="25">
        <f t="shared" si="5"/>
        <v>2000998.611909651</v>
      </c>
      <c r="I47">
        <f t="shared" si="6"/>
        <v>2.000998611909651</v>
      </c>
      <c r="J47">
        <f t="shared" si="7"/>
        <v>1.7151416673511293</v>
      </c>
      <c r="K47">
        <f>J47+'PA Frack Wells'!$D$79</f>
        <v>1.8376795836820383</v>
      </c>
    </row>
    <row r="48" spans="1:12">
      <c r="A48" s="19">
        <v>40724</v>
      </c>
      <c r="B48" s="24">
        <v>193986</v>
      </c>
      <c r="C48" s="24">
        <f t="shared" si="0"/>
        <v>129970.62000000001</v>
      </c>
      <c r="D48" s="24">
        <f t="shared" si="1"/>
        <v>129970620000.00002</v>
      </c>
      <c r="E48" s="25">
        <f t="shared" si="2"/>
        <v>2668801.2320328546</v>
      </c>
      <c r="F48" s="25">
        <f t="shared" si="3"/>
        <v>66720.030800821361</v>
      </c>
      <c r="G48" s="25">
        <f t="shared" si="4"/>
        <v>65385.630184804933</v>
      </c>
      <c r="H48" s="25">
        <f t="shared" si="5"/>
        <v>1830797.6451745383</v>
      </c>
      <c r="I48">
        <f t="shared" si="6"/>
        <v>1.8307976451745382</v>
      </c>
      <c r="J48">
        <f t="shared" si="7"/>
        <v>1.5692551244353183</v>
      </c>
      <c r="K48">
        <f>J48+'PA Frack Wells'!$D$79</f>
        <v>1.6917930407662274</v>
      </c>
    </row>
    <row r="49" spans="1:12">
      <c r="A49" s="19">
        <v>41090</v>
      </c>
      <c r="B49" s="24">
        <v>208946</v>
      </c>
      <c r="C49" s="24">
        <f t="shared" si="0"/>
        <v>139993.82</v>
      </c>
      <c r="D49" s="24">
        <f t="shared" si="1"/>
        <v>139993820000</v>
      </c>
      <c r="E49" s="25">
        <f t="shared" si="2"/>
        <v>2874616.4271047227</v>
      </c>
      <c r="F49" s="25">
        <f t="shared" si="3"/>
        <v>71865.410677618071</v>
      </c>
      <c r="G49" s="25">
        <f t="shared" si="4"/>
        <v>70428.102464065712</v>
      </c>
      <c r="H49" s="25">
        <f t="shared" si="5"/>
        <v>1971986.8689938399</v>
      </c>
      <c r="I49">
        <f t="shared" si="6"/>
        <v>1.97198686899384</v>
      </c>
      <c r="J49">
        <f t="shared" si="7"/>
        <v>1.6902744591375771</v>
      </c>
      <c r="K49">
        <f>J49+'PA Frack Wells'!$D$79</f>
        <v>1.8128123754684862</v>
      </c>
    </row>
    <row r="50" spans="1:12">
      <c r="A50" s="19">
        <v>41455</v>
      </c>
      <c r="B50" s="24">
        <v>197356</v>
      </c>
      <c r="C50" s="24">
        <f t="shared" si="0"/>
        <v>132228.52000000002</v>
      </c>
      <c r="D50" s="24">
        <f t="shared" si="1"/>
        <v>132228520000.00002</v>
      </c>
      <c r="E50" s="25">
        <f t="shared" si="2"/>
        <v>2715164.6817248464</v>
      </c>
      <c r="F50" s="25">
        <f t="shared" si="3"/>
        <v>67879.117043121165</v>
      </c>
      <c r="G50" s="25">
        <f t="shared" si="4"/>
        <v>66521.534702258738</v>
      </c>
      <c r="H50" s="25">
        <f t="shared" si="5"/>
        <v>1862602.9716632445</v>
      </c>
      <c r="I50">
        <f t="shared" si="6"/>
        <v>1.8626029716632446</v>
      </c>
      <c r="J50">
        <f t="shared" si="7"/>
        <v>1.5965168328542096</v>
      </c>
      <c r="K50">
        <f>J50+'PA Frack Wells'!$D$79</f>
        <v>1.7190547491851187</v>
      </c>
    </row>
    <row r="51" spans="1:12">
      <c r="A51" s="19">
        <v>41820</v>
      </c>
      <c r="B51" s="24">
        <v>207103</v>
      </c>
      <c r="C51" s="24">
        <f t="shared" si="0"/>
        <v>138759.01</v>
      </c>
      <c r="D51" s="24">
        <f t="shared" si="1"/>
        <v>138759010000</v>
      </c>
      <c r="E51" s="25">
        <f t="shared" si="2"/>
        <v>2849260.9856262836</v>
      </c>
      <c r="F51" s="25">
        <f t="shared" si="3"/>
        <v>71231.524640657095</v>
      </c>
      <c r="G51" s="25">
        <f t="shared" si="4"/>
        <v>69806.894147843952</v>
      </c>
      <c r="H51" s="25">
        <f t="shared" si="5"/>
        <v>1954593.0361396307</v>
      </c>
      <c r="I51">
        <f t="shared" si="6"/>
        <v>1.9545930361396306</v>
      </c>
      <c r="J51">
        <f t="shared" si="7"/>
        <v>1.6753654595482548</v>
      </c>
      <c r="K51">
        <f>J51+'PA Frack Wells'!$D$79</f>
        <v>1.7979033758791638</v>
      </c>
    </row>
    <row r="52" spans="1:12">
      <c r="A52" s="19">
        <v>42185</v>
      </c>
      <c r="B52" s="24">
        <v>215005</v>
      </c>
      <c r="C52" s="24">
        <f t="shared" si="0"/>
        <v>144053.35</v>
      </c>
      <c r="D52" s="24">
        <f t="shared" si="1"/>
        <v>144053350000</v>
      </c>
      <c r="E52" s="25">
        <f t="shared" si="2"/>
        <v>2957974.3326488705</v>
      </c>
      <c r="F52" s="25">
        <f t="shared" si="3"/>
        <v>73949.358316221769</v>
      </c>
      <c r="G52" s="25">
        <f t="shared" si="4"/>
        <v>72470.371149897328</v>
      </c>
      <c r="H52" s="25">
        <f t="shared" si="5"/>
        <v>2029170.3921971251</v>
      </c>
      <c r="I52">
        <f t="shared" si="6"/>
        <v>2.0291703921971251</v>
      </c>
      <c r="J52">
        <f t="shared" si="7"/>
        <v>1.7392889075975357</v>
      </c>
      <c r="K52">
        <f>J52+'PA Frack Wells'!$D$79</f>
        <v>1.8618268239284448</v>
      </c>
    </row>
    <row r="53" spans="1:12">
      <c r="A53" s="19">
        <v>42551</v>
      </c>
      <c r="B53" s="24">
        <v>219024</v>
      </c>
      <c r="C53" s="24">
        <f t="shared" si="0"/>
        <v>146746.08000000002</v>
      </c>
      <c r="D53" s="24">
        <f t="shared" si="1"/>
        <v>146746080000.00003</v>
      </c>
      <c r="E53" s="25">
        <f t="shared" si="2"/>
        <v>3013266.529774128</v>
      </c>
      <c r="F53" s="25">
        <f t="shared" si="3"/>
        <v>75331.6632443532</v>
      </c>
      <c r="G53" s="25">
        <f t="shared" si="4"/>
        <v>73825.029979466141</v>
      </c>
      <c r="H53" s="25">
        <f t="shared" si="5"/>
        <v>2067100.8394250521</v>
      </c>
      <c r="I53">
        <f t="shared" si="6"/>
        <v>2.0671008394250521</v>
      </c>
      <c r="J53">
        <f t="shared" si="7"/>
        <v>1.7718007195071874</v>
      </c>
      <c r="K53">
        <f>J53+'PA Frack Wells'!$D$79</f>
        <v>1.8943386358380965</v>
      </c>
    </row>
    <row r="54" spans="1:12">
      <c r="A54" s="19">
        <v>42916</v>
      </c>
      <c r="B54" s="24">
        <v>222877</v>
      </c>
      <c r="C54" s="24">
        <f t="shared" si="0"/>
        <v>149327.59</v>
      </c>
      <c r="D54" s="24">
        <f t="shared" si="1"/>
        <v>149327590000</v>
      </c>
      <c r="E54" s="25">
        <f t="shared" si="2"/>
        <v>3066274.9486652976</v>
      </c>
      <c r="F54" s="25">
        <f t="shared" si="3"/>
        <v>76656.873716632443</v>
      </c>
      <c r="G54" s="25">
        <f t="shared" si="4"/>
        <v>75123.736242299798</v>
      </c>
      <c r="H54" s="25">
        <f t="shared" si="5"/>
        <v>2103464.6147843944</v>
      </c>
      <c r="I54">
        <f t="shared" si="6"/>
        <v>2.1034646147843943</v>
      </c>
      <c r="J54">
        <f t="shared" si="7"/>
        <v>1.8029696698151949</v>
      </c>
      <c r="K54">
        <f>J54+'PA Frack Wells'!$D$79</f>
        <v>1.925507586146104</v>
      </c>
    </row>
    <row r="55" spans="1:12">
      <c r="B55" s="24"/>
    </row>
    <row r="57" spans="1:12" ht="15" thickBot="1">
      <c r="B57" s="26" t="s">
        <v>72</v>
      </c>
      <c r="C57" s="26" t="s">
        <v>73</v>
      </c>
      <c r="D57" s="26"/>
      <c r="E57" s="27"/>
      <c r="F57" s="27"/>
      <c r="G57" s="212" t="s">
        <v>49</v>
      </c>
      <c r="H57" s="212"/>
      <c r="I57" s="212"/>
      <c r="J57" s="212"/>
      <c r="K57" s="212"/>
      <c r="L57" s="212"/>
    </row>
    <row r="58" spans="1:12">
      <c r="B58" s="20" t="s">
        <v>74</v>
      </c>
      <c r="C58" s="28">
        <f>6/7</f>
        <v>0.8571428571428571</v>
      </c>
      <c r="D58" s="29"/>
      <c r="E58" s="30"/>
      <c r="F58" s="30"/>
      <c r="G58" s="31" t="s">
        <v>75</v>
      </c>
      <c r="H58" s="32"/>
      <c r="I58" s="32"/>
      <c r="J58" s="32"/>
      <c r="K58" s="32"/>
      <c r="L58" s="32"/>
    </row>
    <row r="59" spans="1:12" ht="12.75" customHeight="1">
      <c r="G59" s="213" t="s">
        <v>50</v>
      </c>
      <c r="H59" s="213"/>
      <c r="I59" s="213"/>
      <c r="J59" s="213"/>
      <c r="K59" s="213"/>
      <c r="L59" s="213"/>
    </row>
    <row r="60" spans="1:12" ht="12.75" customHeight="1">
      <c r="B60" s="20" t="s">
        <v>51</v>
      </c>
      <c r="C60" s="20">
        <v>2.5000000000000001E-2</v>
      </c>
      <c r="G60" s="213" t="s">
        <v>52</v>
      </c>
      <c r="H60" s="213"/>
      <c r="I60" s="213"/>
      <c r="J60" s="213"/>
      <c r="K60" s="213"/>
      <c r="L60" s="213"/>
    </row>
    <row r="61" spans="1:12">
      <c r="B61" s="20" t="s">
        <v>53</v>
      </c>
      <c r="C61" s="20">
        <v>26.3</v>
      </c>
    </row>
    <row r="62" spans="1:12">
      <c r="B62" s="20" t="s">
        <v>54</v>
      </c>
      <c r="C62" s="20">
        <v>28</v>
      </c>
      <c r="G62" t="s">
        <v>55</v>
      </c>
    </row>
    <row r="63" spans="1:12" ht="12.75" customHeight="1">
      <c r="B63" s="20" t="s">
        <v>56</v>
      </c>
      <c r="C63" s="21">
        <v>48700</v>
      </c>
      <c r="D63" t="s">
        <v>57</v>
      </c>
      <c r="G63" s="213" t="s">
        <v>58</v>
      </c>
      <c r="H63" s="213"/>
      <c r="I63" s="213"/>
      <c r="J63" s="213"/>
      <c r="K63" s="213"/>
      <c r="L63" s="213"/>
    </row>
    <row r="64" spans="1:12" ht="12.75" customHeight="1">
      <c r="B64" s="20" t="s">
        <v>59</v>
      </c>
      <c r="C64" s="20">
        <v>0.98</v>
      </c>
      <c r="D64" s="3" t="s">
        <v>60</v>
      </c>
      <c r="G64" s="213"/>
      <c r="H64" s="213"/>
      <c r="I64" s="213"/>
      <c r="J64" s="213"/>
      <c r="K64" s="213"/>
    </row>
    <row r="65" spans="2:9">
      <c r="D65" s="3" t="s">
        <v>76</v>
      </c>
      <c r="G65" s="12" t="s">
        <v>77</v>
      </c>
    </row>
    <row r="66" spans="2:9">
      <c r="B66" s="20"/>
      <c r="C66" s="28"/>
    </row>
    <row r="68" spans="2:9">
      <c r="G68" s="12"/>
    </row>
    <row r="70" spans="2:9" ht="72" customHeight="1">
      <c r="B70" s="209" t="s">
        <v>78</v>
      </c>
      <c r="C70" s="209"/>
      <c r="D70" s="209"/>
      <c r="E70" s="209"/>
      <c r="F70" s="209"/>
      <c r="G70" s="209"/>
      <c r="H70" s="209"/>
      <c r="I70" s="209"/>
    </row>
    <row r="71" spans="2:9">
      <c r="B71" s="12" t="s">
        <v>79</v>
      </c>
    </row>
    <row r="74" spans="2:9">
      <c r="B74" s="3" t="s">
        <v>80</v>
      </c>
    </row>
    <row r="75" spans="2:9">
      <c r="B75" s="12" t="s">
        <v>77</v>
      </c>
    </row>
  </sheetData>
  <sheetProtection algorithmName="SHA-512" hashValue="p+/0CcqbKXx14qqc7fTfx+jkcIAtwNP7xA8f9bTswZBWn3cm0kWu1x6ptgAQxuhmP10T4sM1QMvieZ47i6tpuQ==" saltValue="TBHw577Z8V5dMG4DRQGA1Q==" spinCount="100000" sheet="1" objects="1" scenarios="1"/>
  <mergeCells count="7">
    <mergeCell ref="B70:I70"/>
    <mergeCell ref="L34:L43"/>
    <mergeCell ref="G57:L57"/>
    <mergeCell ref="G59:L59"/>
    <mergeCell ref="G60:L60"/>
    <mergeCell ref="G63:L63"/>
    <mergeCell ref="G64:K64"/>
  </mergeCells>
  <hyperlinks>
    <hyperlink ref="A1" location="Contents!A1" display="Back to Contents" xr:uid="{00000000-0004-0000-0800-000000000000}"/>
    <hyperlink ref="G60" r:id="rId1" xr:uid="{00000000-0004-0000-0800-000001000000}"/>
    <hyperlink ref="G63" r:id="rId2" xr:uid="{00000000-0004-0000-0800-000002000000}"/>
    <hyperlink ref="G65" r:id="rId3" xr:uid="{00000000-0004-0000-0800-000003000000}"/>
    <hyperlink ref="B71" r:id="rId4" xr:uid="{00000000-0004-0000-0800-000004000000}"/>
    <hyperlink ref="B75" r:id="rId5" xr:uid="{00000000-0004-0000-0800-000005000000}"/>
  </hyperlinks>
  <pageMargins left="0.70000000000000007" right="0.70000000000000007" top="1.1437000000000002" bottom="1.1437000000000002" header="0.75000000000000011" footer="0.75000000000000011"/>
  <pageSetup paperSize="0" fitToWidth="0" fitToHeight="0" orientation="portrait" horizontalDpi="0" verticalDpi="0" copies="0"/>
  <headerFooter alignWithMargins="0"/>
  <legacyDrawing r:id="rId6"/>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D5E6D3471F7F04449211EBF97CCD3EEF" ma:contentTypeVersion="11" ma:contentTypeDescription="Create a new document." ma:contentTypeScope="" ma:versionID="1fa121f0f7dadc83016221ac4c0a73d5">
  <xsd:schema xmlns:xsd="http://www.w3.org/2001/XMLSchema" xmlns:xs="http://www.w3.org/2001/XMLSchema" xmlns:p="http://schemas.microsoft.com/office/2006/metadata/properties" xmlns:ns1="http://schemas.microsoft.com/sharepoint/v3" targetNamespace="http://schemas.microsoft.com/office/2006/metadata/properties" ma:root="true" ma:fieldsID="0f1c3a5fe40b69cf375f6490498fc6a7"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4" nillable="true" ma:displayName="Scheduling Start Date" ma:description="" ma:internalName="PublishingStartDate">
      <xsd:simpleType>
        <xsd:restriction base="dms:Unknown"/>
      </xsd:simpleType>
    </xsd:element>
    <xsd:element name="PublishingExpirationDate" ma:index="5" nillable="true" ma:displayName="Scheduling End Date" ma:description=""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6"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47CA9E6-F243-49AD-A53F-738E9188C559}"/>
</file>

<file path=customXml/itemProps2.xml><?xml version="1.0" encoding="utf-8"?>
<ds:datastoreItem xmlns:ds="http://schemas.openxmlformats.org/officeDocument/2006/customXml" ds:itemID="{58E02A1D-4EC1-4ED9-BCF0-F3594BEAD7BE}"/>
</file>

<file path=customXml/itemProps3.xml><?xml version="1.0" encoding="utf-8"?>
<ds:datastoreItem xmlns:ds="http://schemas.openxmlformats.org/officeDocument/2006/customXml" ds:itemID="{8BC022AE-FAA8-4B95-B7DD-21C51066E14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23</vt:i4>
      </vt:variant>
    </vt:vector>
  </HeadingPairs>
  <TitlesOfParts>
    <vt:vector size="23" baseType="lpstr">
      <vt:lpstr>Contents</vt:lpstr>
      <vt:lpstr>Data 1</vt:lpstr>
      <vt:lpstr>Total Fracking Leakage (2006)</vt:lpstr>
      <vt:lpstr>TFL (2006) (20yr GWP)</vt:lpstr>
      <vt:lpstr>Total Fracking Leakage (Maximum</vt:lpstr>
      <vt:lpstr>TFL (Maximum (20yr GWP)</vt:lpstr>
      <vt:lpstr>Total Fracking Leakage (Average</vt:lpstr>
      <vt:lpstr>TFL (Average) (20yr GWP)</vt:lpstr>
      <vt:lpstr>Total Fracking Leakage (67%)</vt:lpstr>
      <vt:lpstr>TFL (67%) (20yr GWP)</vt:lpstr>
      <vt:lpstr>PA Frack Wells</vt:lpstr>
      <vt:lpstr>Emission Calculations</vt:lpstr>
      <vt:lpstr>Emission Calculations (2)</vt:lpstr>
      <vt:lpstr>Emission Calculations (3)</vt:lpstr>
      <vt:lpstr>Emission Calculations (4)</vt:lpstr>
      <vt:lpstr>Guidance and Sources</vt:lpstr>
      <vt:lpstr>PA Frack Wells (84)</vt:lpstr>
      <vt:lpstr>Emission Calculations (84)</vt:lpstr>
      <vt:lpstr>Emission Calculations (84) (2)</vt:lpstr>
      <vt:lpstr>Emission Calculations (84) (3)</vt:lpstr>
      <vt:lpstr>Emission Calculations (84) (4)</vt:lpstr>
      <vt:lpstr>Guidance and Sources (84)</vt:lpstr>
      <vt:lpstr>Graphic</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Methane Total Consumption and Conversion</dc:title>
  <dc:creator>Erick Thunell</dc:creator>
  <cp:lastModifiedBy>Susan Casey</cp:lastModifiedBy>
  <dcterms:created xsi:type="dcterms:W3CDTF">2019-12-30T18:46:19Z</dcterms:created>
  <dcterms:modified xsi:type="dcterms:W3CDTF">2020-10-07T18:00:17Z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0x010100D5E6D3471F7F04449211EBF97CCD3EEF</vt:lpwstr>
  </property>
</Properties>
</file>