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comments8.xml" ContentType="application/vnd.openxmlformats-officedocument.spreadsheetml.comments+xml"/>
  <Override PartName="/xl/comments7.xml" ContentType="application/vnd.openxmlformats-officedocument.spreadsheetml.comments+xml"/>
  <Override PartName="/docProps/app.xml" ContentType="application/vnd.openxmlformats-officedocument.extended-properties+xml"/>
  <Override PartName="/xl/comments6.xml" ContentType="application/vnd.openxmlformats-officedocument.spreadsheetml.comments+xml"/>
  <Override PartName="/xl/comments5.xml" ContentType="application/vnd.openxmlformats-officedocument.spreadsheetml.comments+xml"/>
  <Override PartName="/xl/comments11.xml" ContentType="application/vnd.openxmlformats-officedocument.spreadsheetml.comments+xml"/>
  <Override PartName="/xl/comments14.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3.xml" ContentType="application/vnd.openxmlformats-officedocument.spreadsheetml.comments+xml"/>
  <Override PartName="/xl/comments12.xml" ContentType="application/vnd.openxmlformats-officedocument.spreadsheetml.comments+xml"/>
  <Override PartName="/xl/comments15.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scasey\Documents\VIMAL\"/>
    </mc:Choice>
  </mc:AlternateContent>
  <xr:revisionPtr revIDLastSave="0" documentId="8_{0E134241-0C0B-4901-900E-A10A2C90484C}" xr6:coauthVersionLast="47" xr6:coauthVersionMax="47" xr10:uidLastSave="{00000000-0000-0000-0000-000000000000}"/>
  <bookViews>
    <workbookView xWindow="1500" yWindow="1500" windowWidth="17280" windowHeight="8964" xr2:uid="{00000000-000D-0000-FFFF-FFFF00000000}"/>
  </bookViews>
  <sheets>
    <sheet name="Summary" sheetId="1" r:id="rId1"/>
    <sheet name="EGU Production RGGI Units" sheetId="4" r:id="rId2"/>
    <sheet name="EGU Production Non-RGGI Units" sheetId="5" r:id="rId3"/>
    <sheet name="Imported Electricity" sheetId="6" r:id="rId4"/>
    <sheet name="Residential" sheetId="8" r:id="rId5"/>
    <sheet name="Commercial" sheetId="9" r:id="rId6"/>
    <sheet name="Industrial" sheetId="10" r:id="rId7"/>
    <sheet name="Transportation" sheetId="7" r:id="rId8"/>
    <sheet name="Natural Gas and Oil" sheetId="17" r:id="rId9"/>
    <sheet name="Mining" sheetId="18" r:id="rId10"/>
    <sheet name="Cement" sheetId="11" r:id="rId11"/>
    <sheet name="LimeT&amp;DSodaODS" sheetId="2" r:id="rId12"/>
    <sheet name="Iron And Steel" sheetId="13" r:id="rId13"/>
    <sheet name="Ammonia &amp; Urea Consumption" sheetId="12" r:id="rId14"/>
    <sheet name="Agricultural" sheetId="20" r:id="rId15"/>
    <sheet name="Agriculture_Liming" sheetId="21" r:id="rId16"/>
    <sheet name="Incinerators" sheetId="15" r:id="rId17"/>
    <sheet name="Landfills" sheetId="14" r:id="rId18"/>
    <sheet name="Wastewater" sheetId="19" r:id="rId19"/>
    <sheet name="OpenBurn" sheetId="16" r:id="rId20"/>
    <sheet name="Land_Use" sheetId="3" r:id="rId21"/>
  </sheets>
  <definedNames>
    <definedName name="_Key1">#REF!</definedName>
    <definedName name="_Sort">#REF!</definedName>
    <definedName name="CementCorrectionFactor">#REF!</definedName>
    <definedName name="CH4GWP">#REF!</definedName>
    <definedName name="CoalCCs">#REF!</definedName>
    <definedName name="CoalGrowth">#REF!</definedName>
    <definedName name="data">#REF!</definedName>
    <definedName name="ElecProj">#REF!</definedName>
    <definedName name="EntFermEFs">#REF!</definedName>
    <definedName name="EntFermEFs2">#REF!</definedName>
    <definedName name="EPS">#REF!</definedName>
    <definedName name="EPSFraction">#REF!</definedName>
    <definedName name="FCFchoice">#REF!</definedName>
    <definedName name="FertData">#REF!</definedName>
    <definedName name="FertTypes">#REF!</definedName>
    <definedName name="FFFactors">#REF!</definedName>
    <definedName name="FullName">#REF!</definedName>
    <definedName name="GasProj">#REF!</definedName>
    <definedName name="GWP">#REF!</definedName>
    <definedName name="GWPCH4">#REF!</definedName>
    <definedName name="GWPN2O">#REF!</definedName>
    <definedName name="HTML1_1">#REF!</definedName>
    <definedName name="HTML1_12">#REF!</definedName>
    <definedName name="HTML1_3">#REF!</definedName>
    <definedName name="HTML1_4">#REF!</definedName>
    <definedName name="IndustrialPercent">#REF!</definedName>
    <definedName name="kg.MT">#REF!</definedName>
    <definedName name="LiquidEF">#REF!</definedName>
    <definedName name="MCFs">#REF!</definedName>
    <definedName name="MMFactors">#REF!</definedName>
    <definedName name="MT_per_T">#REF!</definedName>
    <definedName name="N20GWP">#REF!</definedName>
    <definedName name="N2OGWP">#REF!</definedName>
    <definedName name="NetOutElecExports">#REF!</definedName>
    <definedName name="NEU">#REF!</definedName>
    <definedName name="NGCH4meth">#REF!</definedName>
    <definedName name="nobedEF">#REF!</definedName>
    <definedName name="open">#REF!</definedName>
    <definedName name="OxidationFactor">#REF!</definedName>
    <definedName name="PopGrid">#REF!</definedName>
    <definedName name="SelectedState">#REF!</definedName>
    <definedName name="Short_metric">#REF!</definedName>
    <definedName name="SolidEF">#REF!</definedName>
    <definedName name="State">#REF!</definedName>
    <definedName name="StateChoice">#REF!</definedName>
    <definedName name="StateList">#REF!</definedName>
    <definedName name="States">#REF!</definedName>
    <definedName name="StatFactors">#REF!</definedName>
    <definedName name="StorageFactors">#REF!</definedName>
    <definedName name="TransData">#REF!</definedName>
    <definedName name="TransProj">#REF!</definedName>
    <definedName name="UFactor">#REF!</definedName>
    <definedName name="Units">#REF!</definedName>
    <definedName name="VersionDate">#REF!</definedName>
    <definedName name="VersionNumber">#REF!</definedName>
    <definedName name="VolPercent">#REF!</definedName>
    <definedName name="VS_BeefReplace">#REF!</definedName>
    <definedName name="VS_BeefReplace2">#REF!</definedName>
    <definedName name="VS_feedlotheifer">#REF!</definedName>
    <definedName name="VS_feedlotheifer2">#REF!</definedName>
    <definedName name="VS_feedlotsteer">#REF!</definedName>
    <definedName name="VS_feedlotsteer2">#REF!</definedName>
    <definedName name="VS_NOFcows">#REF!</definedName>
    <definedName name="VS_NOFcows2">#REF!</definedName>
    <definedName name="VS_NOFheifers">#REF!</definedName>
    <definedName name="VS_NOFheifers2">#REF!</definedName>
    <definedName name="VS_NOFsteers">#REF!</definedName>
    <definedName name="VS_NOFsteers2">#REF!</definedName>
    <definedName name="VT_mi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3" i="1" l="1"/>
  <c r="D181" i="1"/>
  <c r="D180" i="1"/>
  <c r="D179" i="1" s="1"/>
  <c r="D178" i="1"/>
  <c r="D177" i="1"/>
  <c r="D175" i="1" s="1"/>
  <c r="D170" i="1" s="1"/>
  <c r="D176" i="1"/>
  <c r="D174" i="1"/>
  <c r="D173" i="1"/>
  <c r="D172" i="1"/>
  <c r="D171" i="1"/>
  <c r="D167" i="1"/>
  <c r="D166" i="1"/>
  <c r="D164" i="1" s="1"/>
  <c r="D165" i="1"/>
  <c r="D163" i="1"/>
  <c r="D162" i="1"/>
  <c r="D161" i="1"/>
  <c r="D160" i="1"/>
  <c r="D159" i="1"/>
  <c r="D158" i="1"/>
  <c r="D156" i="1" s="1"/>
  <c r="D157" i="1"/>
  <c r="D155" i="1"/>
  <c r="D154" i="1"/>
  <c r="D153" i="1"/>
  <c r="D152" i="1"/>
  <c r="D151" i="1" s="1"/>
  <c r="D150" i="1"/>
  <c r="D149" i="1"/>
  <c r="D148" i="1"/>
  <c r="D147" i="1" s="1"/>
  <c r="D146" i="1"/>
  <c r="D145" i="1"/>
  <c r="D144" i="1"/>
  <c r="D143" i="1" s="1"/>
  <c r="D142" i="1"/>
  <c r="D141" i="1"/>
  <c r="D140" i="1"/>
  <c r="D139" i="1" s="1"/>
  <c r="D138" i="1"/>
  <c r="D137" i="1"/>
  <c r="D136" i="1"/>
  <c r="D135" i="1" s="1"/>
  <c r="D134" i="1"/>
  <c r="D133" i="1"/>
  <c r="D132" i="1"/>
  <c r="D131" i="1" s="1"/>
  <c r="D129" i="1"/>
  <c r="D128" i="1"/>
  <c r="D126" i="1" s="1"/>
  <c r="D127" i="1"/>
  <c r="D125" i="1"/>
  <c r="D124" i="1"/>
  <c r="D123" i="1"/>
  <c r="D122" i="1" s="1"/>
  <c r="D121" i="1"/>
  <c r="D120" i="1"/>
  <c r="D118" i="1" s="1"/>
  <c r="D119" i="1"/>
  <c r="D117" i="1"/>
  <c r="D116" i="1"/>
  <c r="D115" i="1"/>
  <c r="D114" i="1" s="1"/>
  <c r="D112" i="1"/>
  <c r="D111" i="1"/>
  <c r="D109" i="1"/>
  <c r="D108" i="1"/>
  <c r="D107" i="1"/>
  <c r="D106" i="1" s="1"/>
  <c r="D105" i="1"/>
  <c r="D104" i="1"/>
  <c r="D102" i="1" s="1"/>
  <c r="D103" i="1"/>
  <c r="D101" i="1"/>
  <c r="D100" i="1"/>
  <c r="D99" i="1"/>
  <c r="D98" i="1" s="1"/>
  <c r="D97" i="1"/>
  <c r="D96" i="1"/>
  <c r="D94" i="1" s="1"/>
  <c r="D95" i="1"/>
  <c r="D92" i="1"/>
  <c r="D91" i="1"/>
  <c r="D90" i="1"/>
  <c r="D89" i="1"/>
  <c r="D88" i="1"/>
  <c r="D87" i="1"/>
  <c r="D86" i="1"/>
  <c r="D85" i="1" s="1"/>
  <c r="D80" i="1" s="1"/>
  <c r="D84" i="1"/>
  <c r="D83" i="1"/>
  <c r="D82" i="1"/>
  <c r="D81" i="1"/>
  <c r="D79" i="1"/>
  <c r="D78" i="1"/>
  <c r="D76" i="1" s="1"/>
  <c r="D77" i="1"/>
  <c r="D75" i="1"/>
  <c r="D74" i="1"/>
  <c r="D73" i="1"/>
  <c r="D72" i="1"/>
  <c r="D71" i="1"/>
  <c r="D70" i="1"/>
  <c r="D68" i="1" s="1"/>
  <c r="D69" i="1"/>
  <c r="D67" i="1"/>
  <c r="D66" i="1"/>
  <c r="D65" i="1"/>
  <c r="D64" i="1"/>
  <c r="D63" i="1"/>
  <c r="D62" i="1"/>
  <c r="D61" i="1"/>
  <c r="D60" i="1" s="1"/>
  <c r="D59" i="1"/>
  <c r="D58" i="1"/>
  <c r="D57" i="1"/>
  <c r="D56" i="1"/>
  <c r="D55" i="1"/>
  <c r="D54" i="1"/>
  <c r="D53" i="1"/>
  <c r="D52" i="1" s="1"/>
  <c r="D51" i="1"/>
  <c r="D50" i="1"/>
  <c r="D49" i="1"/>
  <c r="D48" i="1"/>
  <c r="D47" i="1" s="1"/>
  <c r="D46" i="1"/>
  <c r="D43" i="1" s="1"/>
  <c r="D45" i="1"/>
  <c r="D44" i="1"/>
  <c r="D42" i="1"/>
  <c r="D41" i="1"/>
  <c r="D40" i="1"/>
  <c r="D39" i="1" s="1"/>
  <c r="D38" i="1"/>
  <c r="D37" i="1"/>
  <c r="D35" i="1" s="1"/>
  <c r="D36" i="1"/>
  <c r="D34" i="1"/>
  <c r="D33" i="1"/>
  <c r="D32" i="1"/>
  <c r="D31" i="1" s="1"/>
  <c r="D29" i="1"/>
  <c r="D28" i="1"/>
  <c r="D27" i="1"/>
  <c r="D26" i="1"/>
  <c r="D25" i="1"/>
  <c r="D24" i="1"/>
  <c r="D23" i="1"/>
  <c r="D22" i="1"/>
  <c r="D21" i="1" s="1"/>
  <c r="D20" i="1"/>
  <c r="D19" i="1"/>
  <c r="D18" i="1"/>
  <c r="D17" i="1"/>
  <c r="D16" i="1"/>
  <c r="D15" i="1"/>
  <c r="D14" i="1"/>
  <c r="D13" i="1" s="1"/>
  <c r="D93" i="1" l="1"/>
  <c r="D110" i="1"/>
  <c r="D130" i="1"/>
  <c r="D12" i="1"/>
  <c r="D11" i="1" s="1"/>
  <c r="D10" i="1" s="1"/>
  <c r="D30" i="1"/>
  <c r="D168" i="1" l="1"/>
  <c r="D182" i="1" s="1"/>
  <c r="D194" i="1" l="1"/>
  <c r="D193" i="1"/>
  <c r="D192" i="1"/>
  <c r="D191" i="1"/>
  <c r="D190" i="1"/>
  <c r="D189" i="1"/>
  <c r="D188" i="1"/>
  <c r="D187" i="1"/>
  <c r="G20" i="21"/>
  <c r="F20" i="21"/>
  <c r="G19" i="21"/>
  <c r="F19" i="21"/>
  <c r="F7" i="21"/>
  <c r="G7" i="21" s="1"/>
  <c r="C232" i="20"/>
  <c r="C227" i="20"/>
  <c r="E222" i="20"/>
  <c r="Y214" i="20"/>
  <c r="W212" i="20"/>
  <c r="I212" i="20"/>
  <c r="W211" i="20"/>
  <c r="I211" i="20"/>
  <c r="W210" i="20"/>
  <c r="I210" i="20"/>
  <c r="W209" i="20"/>
  <c r="I209" i="20"/>
  <c r="W208" i="20"/>
  <c r="I208" i="20"/>
  <c r="W207" i="20"/>
  <c r="I206" i="20"/>
  <c r="W206" i="20" s="1"/>
  <c r="I205" i="20"/>
  <c r="W205" i="20" s="1"/>
  <c r="I204" i="20"/>
  <c r="W204" i="20" s="1"/>
  <c r="Y199" i="20"/>
  <c r="I197" i="20"/>
  <c r="W197" i="20" s="1"/>
  <c r="I196" i="20"/>
  <c r="W196" i="20" s="1"/>
  <c r="I195" i="20"/>
  <c r="W195" i="20" s="1"/>
  <c r="I194" i="20"/>
  <c r="W194" i="20" s="1"/>
  <c r="I193" i="20"/>
  <c r="W193" i="20" s="1"/>
  <c r="W192" i="20"/>
  <c r="W191" i="20"/>
  <c r="I191" i="20"/>
  <c r="W190" i="20"/>
  <c r="W199" i="20" s="1"/>
  <c r="I190" i="20"/>
  <c r="W189" i="20"/>
  <c r="I189" i="20"/>
  <c r="U176" i="20"/>
  <c r="O176" i="20"/>
  <c r="K176" i="20"/>
  <c r="I176" i="20"/>
  <c r="U175" i="20"/>
  <c r="O175" i="20"/>
  <c r="K175" i="20"/>
  <c r="I175" i="20"/>
  <c r="U174" i="20"/>
  <c r="S174" i="20"/>
  <c r="O174" i="20"/>
  <c r="M174" i="20"/>
  <c r="K174" i="20"/>
  <c r="I174" i="20"/>
  <c r="U173" i="20"/>
  <c r="O173" i="20"/>
  <c r="M173" i="20"/>
  <c r="S173" i="20" s="1"/>
  <c r="K173" i="20"/>
  <c r="I173" i="20"/>
  <c r="O171" i="20"/>
  <c r="U171" i="20" s="1"/>
  <c r="M171" i="20"/>
  <c r="S171" i="20" s="1"/>
  <c r="K171" i="20"/>
  <c r="I171" i="20"/>
  <c r="S170" i="20"/>
  <c r="M170" i="20"/>
  <c r="K170" i="20"/>
  <c r="I170" i="20"/>
  <c r="S169" i="20"/>
  <c r="M169" i="20"/>
  <c r="K169" i="20"/>
  <c r="I169" i="20"/>
  <c r="S168" i="20"/>
  <c r="M168" i="20"/>
  <c r="K168" i="20"/>
  <c r="I168" i="20"/>
  <c r="S167" i="20"/>
  <c r="M167" i="20"/>
  <c r="K167" i="20"/>
  <c r="I167" i="20"/>
  <c r="O164" i="20"/>
  <c r="U164" i="20" s="1"/>
  <c r="M164" i="20"/>
  <c r="S164" i="20" s="1"/>
  <c r="K164" i="20"/>
  <c r="I164" i="20"/>
  <c r="U163" i="20"/>
  <c r="S163" i="20"/>
  <c r="O163" i="20"/>
  <c r="M163" i="20"/>
  <c r="K163" i="20"/>
  <c r="I163" i="20"/>
  <c r="O162" i="20"/>
  <c r="U162" i="20" s="1"/>
  <c r="M162" i="20"/>
  <c r="S162" i="20" s="1"/>
  <c r="K162" i="20"/>
  <c r="I162" i="20"/>
  <c r="O161" i="20"/>
  <c r="U161" i="20" s="1"/>
  <c r="M161" i="20"/>
  <c r="S161" i="20" s="1"/>
  <c r="K161" i="20"/>
  <c r="I161" i="20"/>
  <c r="O160" i="20"/>
  <c r="U160" i="20" s="1"/>
  <c r="M160" i="20"/>
  <c r="S160" i="20" s="1"/>
  <c r="K160" i="20"/>
  <c r="I160" i="20"/>
  <c r="U158" i="20"/>
  <c r="O158" i="20"/>
  <c r="K158" i="20"/>
  <c r="I158" i="20"/>
  <c r="U157" i="20"/>
  <c r="O157" i="20"/>
  <c r="K157" i="20"/>
  <c r="I157" i="20"/>
  <c r="U156" i="20"/>
  <c r="O156" i="20"/>
  <c r="I156" i="20"/>
  <c r="K156" i="20" s="1"/>
  <c r="O155" i="20"/>
  <c r="U155" i="20" s="1"/>
  <c r="I155" i="20"/>
  <c r="K155" i="20" s="1"/>
  <c r="U154" i="20"/>
  <c r="O154" i="20"/>
  <c r="K154" i="20"/>
  <c r="I154" i="20"/>
  <c r="M153" i="20"/>
  <c r="S153" i="20" s="1"/>
  <c r="K153" i="20"/>
  <c r="I153" i="20"/>
  <c r="M152" i="20"/>
  <c r="S152" i="20" s="1"/>
  <c r="I152" i="20"/>
  <c r="K152" i="20" s="1"/>
  <c r="W150" i="20"/>
  <c r="U150" i="20"/>
  <c r="Q150" i="20"/>
  <c r="O150" i="20"/>
  <c r="K150" i="20"/>
  <c r="I150" i="20"/>
  <c r="AQ149" i="20"/>
  <c r="M150" i="20" s="1"/>
  <c r="S150" i="20" s="1"/>
  <c r="U149" i="20"/>
  <c r="Q149" i="20"/>
  <c r="Q177" i="20" s="1"/>
  <c r="O149" i="20"/>
  <c r="M149" i="20"/>
  <c r="I149" i="20"/>
  <c r="E124" i="20"/>
  <c r="E123" i="20"/>
  <c r="E122" i="20"/>
  <c r="E121" i="20"/>
  <c r="E120" i="20"/>
  <c r="E119" i="20"/>
  <c r="E118" i="20"/>
  <c r="Q116" i="20"/>
  <c r="C245" i="20" s="1"/>
  <c r="E116" i="20"/>
  <c r="K116" i="20" s="1"/>
  <c r="W110" i="20"/>
  <c r="K110" i="20"/>
  <c r="W109" i="20"/>
  <c r="K109" i="20"/>
  <c r="W108" i="20"/>
  <c r="K108" i="20"/>
  <c r="W107" i="20"/>
  <c r="K107" i="20"/>
  <c r="W106" i="20"/>
  <c r="K106" i="20"/>
  <c r="K105" i="20"/>
  <c r="W105" i="20" s="1"/>
  <c r="S104" i="20"/>
  <c r="K104" i="20"/>
  <c r="W104" i="20" s="1"/>
  <c r="W103" i="20"/>
  <c r="S103" i="20"/>
  <c r="K103" i="20"/>
  <c r="S102" i="20"/>
  <c r="K102" i="20"/>
  <c r="W102" i="20" s="1"/>
  <c r="W101" i="20"/>
  <c r="K101" i="20"/>
  <c r="S101" i="20" s="1"/>
  <c r="W100" i="20"/>
  <c r="S100" i="20"/>
  <c r="K100" i="20"/>
  <c r="K99" i="20"/>
  <c r="K98" i="20"/>
  <c r="S98" i="20" s="1"/>
  <c r="S97" i="20"/>
  <c r="K97" i="20"/>
  <c r="K96" i="20"/>
  <c r="S96" i="20" s="1"/>
  <c r="K95" i="20"/>
  <c r="S95" i="20" s="1"/>
  <c r="K94" i="20"/>
  <c r="S94" i="20" s="1"/>
  <c r="S93" i="20"/>
  <c r="K93" i="20"/>
  <c r="K92" i="20"/>
  <c r="S92" i="20" s="1"/>
  <c r="K91" i="20"/>
  <c r="S91" i="20" s="1"/>
  <c r="K90" i="20"/>
  <c r="W90" i="20" s="1"/>
  <c r="O85" i="20"/>
  <c r="Q58" i="20"/>
  <c r="S58" i="20" s="1"/>
  <c r="I58" i="20"/>
  <c r="O58" i="20" s="1"/>
  <c r="I57" i="20"/>
  <c r="O57" i="20" s="1"/>
  <c r="Q57" i="20" s="1"/>
  <c r="S57" i="20" s="1"/>
  <c r="O56" i="20"/>
  <c r="Q56" i="20" s="1"/>
  <c r="S56" i="20" s="1"/>
  <c r="I56" i="20"/>
  <c r="O55" i="20"/>
  <c r="Q55" i="20" s="1"/>
  <c r="S55" i="20" s="1"/>
  <c r="I55" i="20"/>
  <c r="I53" i="20"/>
  <c r="O53" i="20" s="1"/>
  <c r="Q53" i="20" s="1"/>
  <c r="S53" i="20" s="1"/>
  <c r="I52" i="20"/>
  <c r="O52" i="20" s="1"/>
  <c r="Q52" i="20" s="1"/>
  <c r="S52" i="20" s="1"/>
  <c r="O51" i="20"/>
  <c r="Q51" i="20" s="1"/>
  <c r="S51" i="20" s="1"/>
  <c r="I51" i="20"/>
  <c r="O50" i="20"/>
  <c r="Q50" i="20" s="1"/>
  <c r="S50" i="20" s="1"/>
  <c r="I50" i="20"/>
  <c r="Q49" i="20"/>
  <c r="S49" i="20" s="1"/>
  <c r="I49" i="20"/>
  <c r="O49" i="20" s="1"/>
  <c r="S46" i="20"/>
  <c r="I46" i="20"/>
  <c r="O46" i="20" s="1"/>
  <c r="Q46" i="20" s="1"/>
  <c r="O45" i="20"/>
  <c r="Q45" i="20" s="1"/>
  <c r="S45" i="20" s="1"/>
  <c r="I45" i="20"/>
  <c r="O44" i="20"/>
  <c r="Q44" i="20" s="1"/>
  <c r="S44" i="20" s="1"/>
  <c r="I44" i="20"/>
  <c r="I43" i="20"/>
  <c r="O43" i="20" s="1"/>
  <c r="Q43" i="20" s="1"/>
  <c r="S43" i="20" s="1"/>
  <c r="O42" i="20"/>
  <c r="Q42" i="20" s="1"/>
  <c r="S42" i="20" s="1"/>
  <c r="I42" i="20"/>
  <c r="O40" i="20"/>
  <c r="Q40" i="20" s="1"/>
  <c r="S40" i="20" s="1"/>
  <c r="I40" i="20"/>
  <c r="I39" i="20"/>
  <c r="O39" i="20" s="1"/>
  <c r="Q39" i="20" s="1"/>
  <c r="S39" i="20" s="1"/>
  <c r="I38" i="20"/>
  <c r="O38" i="20" s="1"/>
  <c r="Q38" i="20" s="1"/>
  <c r="S38" i="20" s="1"/>
  <c r="O37" i="20"/>
  <c r="Q37" i="20" s="1"/>
  <c r="S37" i="20" s="1"/>
  <c r="I37" i="20"/>
  <c r="O36" i="20"/>
  <c r="Q36" i="20" s="1"/>
  <c r="S36" i="20" s="1"/>
  <c r="I36" i="20"/>
  <c r="I35" i="20"/>
  <c r="O35" i="20" s="1"/>
  <c r="Q35" i="20" s="1"/>
  <c r="S35" i="20" s="1"/>
  <c r="I34" i="20"/>
  <c r="O34" i="20" s="1"/>
  <c r="Q34" i="20" s="1"/>
  <c r="S34" i="20" s="1"/>
  <c r="O33" i="20"/>
  <c r="Q33" i="20" s="1"/>
  <c r="S33" i="20" s="1"/>
  <c r="I33" i="20"/>
  <c r="O31" i="20"/>
  <c r="Q31" i="20" s="1"/>
  <c r="S31" i="20" s="1"/>
  <c r="I31" i="20"/>
  <c r="I30" i="20"/>
  <c r="O30" i="20" s="1"/>
  <c r="G24" i="20"/>
  <c r="I24" i="20" s="1"/>
  <c r="I23" i="20"/>
  <c r="G23" i="20"/>
  <c r="G22" i="20"/>
  <c r="I22" i="20" s="1"/>
  <c r="I21" i="20"/>
  <c r="G21" i="20"/>
  <c r="G19" i="20"/>
  <c r="I19" i="20" s="1"/>
  <c r="I18" i="20"/>
  <c r="G18" i="20"/>
  <c r="G17" i="20"/>
  <c r="I17" i="20" s="1"/>
  <c r="I16" i="20"/>
  <c r="G16" i="20"/>
  <c r="G15" i="20"/>
  <c r="I15" i="20" s="1"/>
  <c r="I14" i="20"/>
  <c r="G14" i="20"/>
  <c r="G13" i="20"/>
  <c r="I13" i="20" s="1"/>
  <c r="I12" i="20"/>
  <c r="G12" i="20"/>
  <c r="G11" i="20"/>
  <c r="I11" i="20" s="1"/>
  <c r="I9" i="20"/>
  <c r="G9" i="20"/>
  <c r="Z9" i="20"/>
  <c r="I8" i="20"/>
  <c r="G8" i="20"/>
  <c r="Z8" i="20"/>
  <c r="Q83" i="20" s="1"/>
  <c r="S83" i="20" s="1"/>
  <c r="U83" i="20" s="1"/>
  <c r="I7" i="20"/>
  <c r="G7" i="20"/>
  <c r="Z7" i="20"/>
  <c r="E227" i="20" s="1"/>
  <c r="I6" i="20"/>
  <c r="G6" i="20"/>
  <c r="G25" i="20" s="1"/>
  <c r="Z6" i="20"/>
  <c r="I32" i="19"/>
  <c r="I31" i="19"/>
  <c r="AI14" i="19" s="1"/>
  <c r="I30" i="19"/>
  <c r="Q5" i="19" s="1"/>
  <c r="I29" i="19"/>
  <c r="W19" i="19"/>
  <c r="O19" i="19"/>
  <c r="S19" i="19" s="1"/>
  <c r="AE14" i="19"/>
  <c r="AC14" i="19"/>
  <c r="W14" i="19"/>
  <c r="M14" i="19"/>
  <c r="Q14" i="19" s="1"/>
  <c r="Y14" i="19" s="1"/>
  <c r="Q9" i="19"/>
  <c r="O9" i="19"/>
  <c r="K9" i="19"/>
  <c r="U5" i="19"/>
  <c r="O5" i="19"/>
  <c r="C62" i="18"/>
  <c r="J29" i="18"/>
  <c r="C63" i="18" s="1"/>
  <c r="J28" i="18"/>
  <c r="J27" i="18"/>
  <c r="C61" i="18" s="1"/>
  <c r="C60" i="18" s="1"/>
  <c r="H15" i="18"/>
  <c r="J15" i="18" s="1"/>
  <c r="H13" i="18"/>
  <c r="J13" i="18" s="1"/>
  <c r="Q11" i="18"/>
  <c r="Q10" i="18"/>
  <c r="Q9" i="18"/>
  <c r="L27" i="18" s="1"/>
  <c r="C37" i="18" s="1"/>
  <c r="H9" i="18"/>
  <c r="Q8" i="18"/>
  <c r="J6" i="18"/>
  <c r="L6" i="18" s="1"/>
  <c r="C72" i="17"/>
  <c r="H70" i="17"/>
  <c r="E50" i="17"/>
  <c r="C50" i="17"/>
  <c r="E49" i="17"/>
  <c r="C49" i="17"/>
  <c r="E48" i="17"/>
  <c r="E51" i="17" s="1"/>
  <c r="E33" i="17"/>
  <c r="E32" i="17"/>
  <c r="E31" i="17"/>
  <c r="E34" i="17" s="1"/>
  <c r="E28" i="17"/>
  <c r="I27" i="17"/>
  <c r="E27" i="17"/>
  <c r="I26" i="17"/>
  <c r="I70" i="17" s="1"/>
  <c r="E26" i="17"/>
  <c r="I25" i="17"/>
  <c r="F28" i="17" s="1"/>
  <c r="E25" i="17"/>
  <c r="I24" i="17"/>
  <c r="E8" i="17"/>
  <c r="C56" i="15"/>
  <c r="C55" i="15"/>
  <c r="E43" i="15" s="1"/>
  <c r="C54" i="15"/>
  <c r="C53" i="15"/>
  <c r="C32" i="15"/>
  <c r="C34" i="15" s="1"/>
  <c r="C30" i="15"/>
  <c r="J16" i="15"/>
  <c r="H16" i="15"/>
  <c r="C41" i="15" s="1"/>
  <c r="I14" i="15"/>
  <c r="H14" i="15"/>
  <c r="I12" i="15"/>
  <c r="H12" i="15"/>
  <c r="I10" i="15"/>
  <c r="I8" i="15"/>
  <c r="I16" i="15" s="1"/>
  <c r="I18" i="15" s="1"/>
  <c r="I20" i="15" s="1"/>
  <c r="H8" i="15"/>
  <c r="D85" i="14"/>
  <c r="D84" i="14"/>
  <c r="D83" i="14"/>
  <c r="K81" i="14" s="1"/>
  <c r="D82" i="14"/>
  <c r="V74" i="14"/>
  <c r="T74" i="14"/>
  <c r="R74" i="14"/>
  <c r="U74" i="14" s="1"/>
  <c r="Q74" i="14"/>
  <c r="P74" i="14"/>
  <c r="O74" i="14"/>
  <c r="M74" i="14"/>
  <c r="R73" i="14"/>
  <c r="K73" i="14"/>
  <c r="J73" i="14"/>
  <c r="G73" i="14"/>
  <c r="E73" i="14"/>
  <c r="U71" i="14"/>
  <c r="V71" i="14" s="1"/>
  <c r="T71" i="14"/>
  <c r="R71" i="14"/>
  <c r="M71" i="14"/>
  <c r="Q71" i="14" s="1"/>
  <c r="J71" i="14"/>
  <c r="G71" i="14"/>
  <c r="E71" i="14"/>
  <c r="U69" i="14"/>
  <c r="V69" i="14" s="1"/>
  <c r="T69" i="14"/>
  <c r="K69" i="14"/>
  <c r="R69" i="14" s="1"/>
  <c r="J69" i="14"/>
  <c r="G69" i="14"/>
  <c r="E69" i="14"/>
  <c r="V68" i="14"/>
  <c r="T68" i="14"/>
  <c r="R68" i="14"/>
  <c r="U68" i="14" s="1"/>
  <c r="G68" i="14"/>
  <c r="E68" i="14"/>
  <c r="V67" i="14"/>
  <c r="R67" i="14"/>
  <c r="U67" i="14" s="1"/>
  <c r="G67" i="14"/>
  <c r="U65" i="14"/>
  <c r="V65" i="14" s="1"/>
  <c r="R65" i="14"/>
  <c r="T65" i="14" s="1"/>
  <c r="G65" i="14"/>
  <c r="E65" i="14"/>
  <c r="V63" i="14"/>
  <c r="U63" i="14"/>
  <c r="R63" i="14"/>
  <c r="T63" i="14" s="1"/>
  <c r="G63" i="14"/>
  <c r="U62" i="14"/>
  <c r="V62" i="14" s="1"/>
  <c r="T62" i="14"/>
  <c r="R62" i="14"/>
  <c r="G62" i="14"/>
  <c r="T60" i="14"/>
  <c r="R60" i="14"/>
  <c r="U60" i="14" s="1"/>
  <c r="V60" i="14" s="1"/>
  <c r="G60" i="14"/>
  <c r="E60" i="14"/>
  <c r="T59" i="14"/>
  <c r="R59" i="14"/>
  <c r="U59" i="14" s="1"/>
  <c r="P59" i="14"/>
  <c r="O59" i="14"/>
  <c r="M59" i="14"/>
  <c r="Q59" i="14" s="1"/>
  <c r="V59" i="14" s="1"/>
  <c r="G59" i="14"/>
  <c r="E59" i="14"/>
  <c r="U58" i="14"/>
  <c r="T58" i="14"/>
  <c r="R58" i="14"/>
  <c r="Q58" i="14"/>
  <c r="M58" i="14"/>
  <c r="O58" i="14" s="1"/>
  <c r="P58" i="14" s="1"/>
  <c r="G58" i="14"/>
  <c r="E58" i="14"/>
  <c r="R57" i="14"/>
  <c r="P57" i="14"/>
  <c r="O57" i="14"/>
  <c r="M57" i="14"/>
  <c r="Q57" i="14" s="1"/>
  <c r="G57" i="14"/>
  <c r="E57" i="14"/>
  <c r="U55" i="14"/>
  <c r="V55" i="14" s="1"/>
  <c r="T55" i="14"/>
  <c r="R55" i="14"/>
  <c r="G55" i="14"/>
  <c r="E55" i="14"/>
  <c r="U53" i="14"/>
  <c r="V53" i="14" s="1"/>
  <c r="T53" i="14"/>
  <c r="R53" i="14"/>
  <c r="Q53" i="14"/>
  <c r="O53" i="14"/>
  <c r="P53" i="14" s="1"/>
  <c r="M53" i="14"/>
  <c r="G53" i="14"/>
  <c r="E53" i="14"/>
  <c r="K51" i="14"/>
  <c r="M51" i="14" s="1"/>
  <c r="J51" i="14"/>
  <c r="V50" i="14"/>
  <c r="U50" i="14"/>
  <c r="T50" i="14"/>
  <c r="R50" i="14"/>
  <c r="Q50" i="14"/>
  <c r="O50" i="14"/>
  <c r="M50" i="14"/>
  <c r="K48" i="14"/>
  <c r="R48" i="14" s="1"/>
  <c r="J48" i="14"/>
  <c r="G48" i="14"/>
  <c r="E48" i="14"/>
  <c r="T46" i="14"/>
  <c r="R46" i="14"/>
  <c r="U46" i="14" s="1"/>
  <c r="V46" i="14" s="1"/>
  <c r="G46" i="14"/>
  <c r="E46" i="14"/>
  <c r="T45" i="14"/>
  <c r="R45" i="14"/>
  <c r="U45" i="14" s="1"/>
  <c r="V45" i="14" s="1"/>
  <c r="G45" i="14"/>
  <c r="E45" i="14"/>
  <c r="K43" i="14"/>
  <c r="R43" i="14" s="1"/>
  <c r="J43" i="14"/>
  <c r="G43" i="14"/>
  <c r="E43" i="14"/>
  <c r="R42" i="14"/>
  <c r="K42" i="14"/>
  <c r="M42" i="14" s="1"/>
  <c r="J42" i="14"/>
  <c r="G42" i="14"/>
  <c r="E42" i="14"/>
  <c r="K41" i="14"/>
  <c r="R41" i="14" s="1"/>
  <c r="J41" i="14"/>
  <c r="G41" i="14"/>
  <c r="E41" i="14"/>
  <c r="K39" i="14"/>
  <c r="R39" i="14" s="1"/>
  <c r="J39" i="14"/>
  <c r="E39" i="14"/>
  <c r="R38" i="14"/>
  <c r="T38" i="14" s="1"/>
  <c r="G38" i="14"/>
  <c r="E38" i="14"/>
  <c r="T36" i="14"/>
  <c r="R36" i="14"/>
  <c r="U36" i="14" s="1"/>
  <c r="V36" i="14" s="1"/>
  <c r="G36" i="14"/>
  <c r="E36" i="14"/>
  <c r="U35" i="14"/>
  <c r="V35" i="14" s="1"/>
  <c r="R35" i="14"/>
  <c r="T35" i="14" s="1"/>
  <c r="K35" i="14"/>
  <c r="J35" i="14"/>
  <c r="G35" i="14"/>
  <c r="E35" i="14"/>
  <c r="K33" i="14"/>
  <c r="R33" i="14" s="1"/>
  <c r="T33" i="14" s="1"/>
  <c r="J33" i="14"/>
  <c r="E33" i="14"/>
  <c r="T31" i="14"/>
  <c r="R31" i="14"/>
  <c r="U31" i="14" s="1"/>
  <c r="V31" i="14" s="1"/>
  <c r="Q31" i="14"/>
  <c r="P31" i="14"/>
  <c r="O31" i="14"/>
  <c r="M31" i="14"/>
  <c r="G31" i="14"/>
  <c r="E31" i="14"/>
  <c r="V30" i="14"/>
  <c r="U30" i="14"/>
  <c r="T30" i="14"/>
  <c r="R30" i="14"/>
  <c r="G30" i="14"/>
  <c r="E30" i="14"/>
  <c r="K28" i="14"/>
  <c r="R28" i="14" s="1"/>
  <c r="J28" i="14"/>
  <c r="R26" i="14"/>
  <c r="G26" i="14"/>
  <c r="E26" i="14"/>
  <c r="K25" i="14"/>
  <c r="R25" i="14" s="1"/>
  <c r="J25" i="14"/>
  <c r="G25" i="14"/>
  <c r="E25" i="14"/>
  <c r="K23" i="14"/>
  <c r="J23" i="14"/>
  <c r="K22" i="14"/>
  <c r="M22" i="14" s="1"/>
  <c r="J22" i="14"/>
  <c r="G22" i="14"/>
  <c r="E22" i="14"/>
  <c r="V20" i="14"/>
  <c r="U20" i="14"/>
  <c r="T20" i="14"/>
  <c r="R20" i="14"/>
  <c r="G20" i="14"/>
  <c r="E20" i="14"/>
  <c r="K18" i="14"/>
  <c r="R18" i="14" s="1"/>
  <c r="J18" i="14"/>
  <c r="L17" i="14"/>
  <c r="M17" i="14" s="1"/>
  <c r="K17" i="14"/>
  <c r="J17" i="14"/>
  <c r="R16" i="14"/>
  <c r="U16" i="14" s="1"/>
  <c r="V16" i="14" s="1"/>
  <c r="G16" i="14"/>
  <c r="E16" i="14"/>
  <c r="R15" i="14"/>
  <c r="Q15" i="14"/>
  <c r="M15" i="14"/>
  <c r="O15" i="14" s="1"/>
  <c r="P15" i="14" s="1"/>
  <c r="G15" i="14"/>
  <c r="E15" i="14"/>
  <c r="R14" i="14"/>
  <c r="U14" i="14" s="1"/>
  <c r="V14" i="14" s="1"/>
  <c r="G14" i="14"/>
  <c r="E14" i="14"/>
  <c r="R13" i="14"/>
  <c r="U13" i="14" s="1"/>
  <c r="V13" i="14" s="1"/>
  <c r="G13" i="14"/>
  <c r="E13" i="14"/>
  <c r="R11" i="14"/>
  <c r="U11" i="14" s="1"/>
  <c r="V11" i="14" s="1"/>
  <c r="G11" i="14"/>
  <c r="E11" i="14"/>
  <c r="R10" i="14"/>
  <c r="U10" i="14" s="1"/>
  <c r="V10" i="14" s="1"/>
  <c r="O10" i="14"/>
  <c r="M10" i="14"/>
  <c r="Q10" i="14" s="1"/>
  <c r="G10" i="14"/>
  <c r="E10" i="14"/>
  <c r="G13" i="13"/>
  <c r="K13" i="13" s="1"/>
  <c r="L13" i="13" s="1"/>
  <c r="M13" i="13" s="1"/>
  <c r="G11" i="13"/>
  <c r="K11" i="13" s="1"/>
  <c r="L11" i="13" s="1"/>
  <c r="M11" i="13" s="1"/>
  <c r="G9" i="13"/>
  <c r="K9" i="13" s="1"/>
  <c r="L9" i="13" s="1"/>
  <c r="I8" i="12"/>
  <c r="J8" i="12" s="1"/>
  <c r="I7" i="12"/>
  <c r="G7" i="12"/>
  <c r="H66" i="11"/>
  <c r="L66" i="11" s="1"/>
  <c r="F43" i="11"/>
  <c r="E43" i="11"/>
  <c r="D43" i="11"/>
  <c r="G43" i="11" s="1"/>
  <c r="F39" i="11"/>
  <c r="E39" i="11"/>
  <c r="D39" i="11"/>
  <c r="D29" i="11"/>
  <c r="F25" i="11"/>
  <c r="F29" i="11" s="1"/>
  <c r="E25" i="11"/>
  <c r="D25" i="11"/>
  <c r="G23" i="11"/>
  <c r="F17" i="11"/>
  <c r="E17" i="11"/>
  <c r="D17" i="11"/>
  <c r="G17" i="11" s="1"/>
  <c r="G13" i="11"/>
  <c r="B66" i="11" s="1"/>
  <c r="F66" i="11" s="1"/>
  <c r="D122" i="10"/>
  <c r="C122" i="10"/>
  <c r="D121" i="10"/>
  <c r="C121" i="10"/>
  <c r="D120" i="10"/>
  <c r="C120" i="10"/>
  <c r="D119" i="10"/>
  <c r="C119" i="10"/>
  <c r="D118" i="10"/>
  <c r="C118" i="10"/>
  <c r="D117" i="10"/>
  <c r="C117" i="10"/>
  <c r="D116" i="10"/>
  <c r="C116" i="10"/>
  <c r="D115" i="10"/>
  <c r="C115" i="10"/>
  <c r="D114" i="10"/>
  <c r="C114" i="10"/>
  <c r="D113" i="10"/>
  <c r="C113" i="10"/>
  <c r="D112" i="10"/>
  <c r="C112" i="10"/>
  <c r="D111" i="10"/>
  <c r="C111" i="10"/>
  <c r="D110" i="10"/>
  <c r="C110" i="10"/>
  <c r="D109" i="10"/>
  <c r="C109" i="10"/>
  <c r="D108" i="10"/>
  <c r="C108" i="10"/>
  <c r="D107" i="10"/>
  <c r="C107" i="10"/>
  <c r="D106" i="10"/>
  <c r="C106" i="10"/>
  <c r="D105" i="10"/>
  <c r="C105" i="10"/>
  <c r="D104" i="10"/>
  <c r="C104" i="10"/>
  <c r="D103" i="10"/>
  <c r="C103" i="10"/>
  <c r="D102" i="10"/>
  <c r="C102" i="10"/>
  <c r="D101" i="10"/>
  <c r="C101" i="10"/>
  <c r="D100" i="10"/>
  <c r="C100" i="10"/>
  <c r="F91" i="10"/>
  <c r="F90" i="10"/>
  <c r="F89" i="10"/>
  <c r="F88" i="10"/>
  <c r="F87" i="10"/>
  <c r="F86" i="10"/>
  <c r="F85" i="10"/>
  <c r="F84" i="10"/>
  <c r="F83" i="10"/>
  <c r="F82" i="10"/>
  <c r="F81" i="10"/>
  <c r="F80" i="10"/>
  <c r="F79" i="10"/>
  <c r="F78" i="10"/>
  <c r="F77" i="10"/>
  <c r="F76" i="10"/>
  <c r="F75" i="10"/>
  <c r="F74" i="10"/>
  <c r="F73" i="10"/>
  <c r="F72" i="10"/>
  <c r="F71" i="10"/>
  <c r="F70" i="10"/>
  <c r="F69" i="10"/>
  <c r="F60" i="10"/>
  <c r="F59" i="10"/>
  <c r="F58" i="10"/>
  <c r="F57" i="10"/>
  <c r="F56" i="10"/>
  <c r="F55" i="10"/>
  <c r="F54" i="10"/>
  <c r="F53" i="10"/>
  <c r="F52" i="10"/>
  <c r="F51" i="10"/>
  <c r="F50" i="10"/>
  <c r="F49" i="10"/>
  <c r="F48" i="10"/>
  <c r="F47" i="10"/>
  <c r="F46" i="10"/>
  <c r="F45" i="10"/>
  <c r="F44" i="10"/>
  <c r="F43" i="10"/>
  <c r="F42" i="10"/>
  <c r="F41" i="10"/>
  <c r="K40" i="10"/>
  <c r="F40" i="10"/>
  <c r="K39" i="10"/>
  <c r="G59" i="10" s="1"/>
  <c r="F39" i="10"/>
  <c r="K38" i="10"/>
  <c r="G90" i="10" s="1"/>
  <c r="H90" i="10" s="1"/>
  <c r="F121" i="10" s="1"/>
  <c r="F38" i="10"/>
  <c r="K37" i="10"/>
  <c r="I29" i="10"/>
  <c r="J29" i="10" s="1"/>
  <c r="E121" i="10" s="1"/>
  <c r="F29" i="10"/>
  <c r="F28" i="10"/>
  <c r="I28" i="10" s="1"/>
  <c r="J28" i="10" s="1"/>
  <c r="E120" i="10" s="1"/>
  <c r="I27" i="10"/>
  <c r="J27" i="10" s="1"/>
  <c r="E119" i="10" s="1"/>
  <c r="F27" i="10"/>
  <c r="J26" i="10"/>
  <c r="E118" i="10" s="1"/>
  <c r="F26" i="10"/>
  <c r="I26" i="10" s="1"/>
  <c r="F25" i="10"/>
  <c r="I25" i="10" s="1"/>
  <c r="J25" i="10" s="1"/>
  <c r="E117" i="10" s="1"/>
  <c r="F24" i="10"/>
  <c r="I24" i="10" s="1"/>
  <c r="J24" i="10" s="1"/>
  <c r="E116" i="10" s="1"/>
  <c r="I23" i="10"/>
  <c r="J23" i="10" s="1"/>
  <c r="E115" i="10" s="1"/>
  <c r="F23" i="10"/>
  <c r="F22" i="10"/>
  <c r="I22" i="10" s="1"/>
  <c r="J22" i="10" s="1"/>
  <c r="E114" i="10" s="1"/>
  <c r="I21" i="10"/>
  <c r="J21" i="10" s="1"/>
  <c r="E113" i="10" s="1"/>
  <c r="F21" i="10"/>
  <c r="F20" i="10"/>
  <c r="I20" i="10" s="1"/>
  <c r="J20" i="10" s="1"/>
  <c r="E112" i="10" s="1"/>
  <c r="I19" i="10"/>
  <c r="J19" i="10" s="1"/>
  <c r="E111" i="10" s="1"/>
  <c r="F19" i="10"/>
  <c r="J18" i="10"/>
  <c r="E110" i="10" s="1"/>
  <c r="F18" i="10"/>
  <c r="I18" i="10" s="1"/>
  <c r="F17" i="10"/>
  <c r="I17" i="10" s="1"/>
  <c r="J17" i="10" s="1"/>
  <c r="E109" i="10" s="1"/>
  <c r="F16" i="10"/>
  <c r="I16" i="10" s="1"/>
  <c r="J16" i="10" s="1"/>
  <c r="E108" i="10" s="1"/>
  <c r="I15" i="10"/>
  <c r="J15" i="10" s="1"/>
  <c r="E107" i="10" s="1"/>
  <c r="F15" i="10"/>
  <c r="F14" i="10"/>
  <c r="I14" i="10" s="1"/>
  <c r="J14" i="10" s="1"/>
  <c r="E106" i="10" s="1"/>
  <c r="I13" i="10"/>
  <c r="J13" i="10" s="1"/>
  <c r="E105" i="10" s="1"/>
  <c r="F13" i="10"/>
  <c r="F12" i="10"/>
  <c r="I12" i="10" s="1"/>
  <c r="J12" i="10" s="1"/>
  <c r="E104" i="10" s="1"/>
  <c r="I11" i="10"/>
  <c r="J11" i="10" s="1"/>
  <c r="E103" i="10" s="1"/>
  <c r="F11" i="10"/>
  <c r="J10" i="10"/>
  <c r="E102" i="10" s="1"/>
  <c r="F10" i="10"/>
  <c r="I10" i="10" s="1"/>
  <c r="I9" i="10"/>
  <c r="J9" i="10" s="1"/>
  <c r="E101" i="10" s="1"/>
  <c r="F9" i="10"/>
  <c r="F8" i="10"/>
  <c r="I8" i="10" s="1"/>
  <c r="J8" i="10" s="1"/>
  <c r="C61" i="9"/>
  <c r="C60" i="9"/>
  <c r="C59" i="9"/>
  <c r="C58" i="9"/>
  <c r="D57" i="9"/>
  <c r="C57" i="9"/>
  <c r="C56" i="9"/>
  <c r="C55" i="9"/>
  <c r="C54" i="9"/>
  <c r="E44" i="9"/>
  <c r="E43" i="9"/>
  <c r="E42" i="9"/>
  <c r="E41" i="9"/>
  <c r="E40" i="9"/>
  <c r="E39" i="9"/>
  <c r="E38" i="9"/>
  <c r="E37" i="9"/>
  <c r="E29" i="9"/>
  <c r="E28" i="9"/>
  <c r="E27" i="9"/>
  <c r="E26" i="9"/>
  <c r="E25" i="9"/>
  <c r="E24" i="9"/>
  <c r="E23" i="9"/>
  <c r="E22" i="9"/>
  <c r="F14" i="9"/>
  <c r="G14" i="9" s="1"/>
  <c r="D60" i="9" s="1"/>
  <c r="G13" i="9"/>
  <c r="D59" i="9" s="1"/>
  <c r="F13" i="9"/>
  <c r="G12" i="9"/>
  <c r="D58" i="9" s="1"/>
  <c r="F12" i="9"/>
  <c r="F11" i="9"/>
  <c r="G11" i="9" s="1"/>
  <c r="K10" i="9"/>
  <c r="G10" i="9"/>
  <c r="D56" i="9" s="1"/>
  <c r="F10" i="9"/>
  <c r="K9" i="9"/>
  <c r="F25" i="9" s="1"/>
  <c r="G25" i="9" s="1"/>
  <c r="F57" i="9" s="1"/>
  <c r="F9" i="9"/>
  <c r="G9" i="9" s="1"/>
  <c r="D55" i="9" s="1"/>
  <c r="K8" i="9"/>
  <c r="F44" i="9" s="1"/>
  <c r="G44" i="9" s="1"/>
  <c r="E61" i="9" s="1"/>
  <c r="F8" i="9"/>
  <c r="G8" i="9" s="1"/>
  <c r="K7" i="9"/>
  <c r="E36" i="8"/>
  <c r="E35" i="8"/>
  <c r="E34" i="8"/>
  <c r="E33" i="8"/>
  <c r="E32" i="8"/>
  <c r="E31" i="8"/>
  <c r="E23" i="8"/>
  <c r="E22" i="8"/>
  <c r="E21" i="8"/>
  <c r="E20" i="8"/>
  <c r="E19" i="8"/>
  <c r="E18" i="8"/>
  <c r="F11" i="8"/>
  <c r="G11" i="8" s="1"/>
  <c r="C50" i="8" s="1"/>
  <c r="K10" i="8"/>
  <c r="G10" i="8"/>
  <c r="C49" i="8" s="1"/>
  <c r="F10" i="8"/>
  <c r="K9" i="8"/>
  <c r="F18" i="8" s="1"/>
  <c r="G18" i="8" s="1"/>
  <c r="F9" i="8"/>
  <c r="G9" i="8" s="1"/>
  <c r="C48" i="8" s="1"/>
  <c r="K8" i="8"/>
  <c r="F35" i="8" s="1"/>
  <c r="G8" i="8"/>
  <c r="C47" i="8" s="1"/>
  <c r="F8" i="8"/>
  <c r="K7" i="8"/>
  <c r="F7" i="8"/>
  <c r="G7" i="8" s="1"/>
  <c r="K87" i="7"/>
  <c r="M87" i="7" s="1"/>
  <c r="I87" i="7"/>
  <c r="I86" i="7"/>
  <c r="K86" i="7" s="1"/>
  <c r="M86" i="7" s="1"/>
  <c r="K85" i="7"/>
  <c r="M85" i="7" s="1"/>
  <c r="I85" i="7"/>
  <c r="O79" i="7"/>
  <c r="Q79" i="7" s="1"/>
  <c r="S79" i="7" s="1"/>
  <c r="I79" i="7"/>
  <c r="K71" i="7"/>
  <c r="M71" i="7" s="1"/>
  <c r="O71" i="7" s="1"/>
  <c r="E70" i="7"/>
  <c r="K70" i="7" s="1"/>
  <c r="M70" i="7" s="1"/>
  <c r="O70" i="7" s="1"/>
  <c r="E73" i="1" s="1"/>
  <c r="E69" i="7"/>
  <c r="K69" i="7" s="1"/>
  <c r="M69" i="7" s="1"/>
  <c r="O69" i="7" s="1"/>
  <c r="T68" i="7"/>
  <c r="E68" i="7"/>
  <c r="K68" i="7" s="1"/>
  <c r="M68" i="7" s="1"/>
  <c r="O68" i="7" s="1"/>
  <c r="C68" i="7"/>
  <c r="AA68" i="7" s="1"/>
  <c r="T67" i="7"/>
  <c r="E67" i="7"/>
  <c r="K67" i="7" s="1"/>
  <c r="M67" i="7" s="1"/>
  <c r="O67" i="7" s="1"/>
  <c r="C67" i="7"/>
  <c r="AA67" i="7" s="1"/>
  <c r="T66" i="7"/>
  <c r="E66" i="7"/>
  <c r="K66" i="7" s="1"/>
  <c r="M66" i="7" s="1"/>
  <c r="O66" i="7" s="1"/>
  <c r="C66" i="7"/>
  <c r="AA66" i="7" s="1"/>
  <c r="T65" i="7"/>
  <c r="E65" i="7"/>
  <c r="K65" i="7" s="1"/>
  <c r="M65" i="7" s="1"/>
  <c r="O65" i="7" s="1"/>
  <c r="C65" i="7"/>
  <c r="AA65" i="7" s="1"/>
  <c r="T64" i="7"/>
  <c r="E64" i="7"/>
  <c r="K64" i="7" s="1"/>
  <c r="M64" i="7" s="1"/>
  <c r="O64" i="7" s="1"/>
  <c r="C64" i="7"/>
  <c r="AA64" i="7" s="1"/>
  <c r="K63" i="7"/>
  <c r="M63" i="7" s="1"/>
  <c r="O63" i="7" s="1"/>
  <c r="E63" i="7"/>
  <c r="C63" i="7"/>
  <c r="M62" i="7"/>
  <c r="O62" i="7" s="1"/>
  <c r="K62" i="7"/>
  <c r="T61" i="7"/>
  <c r="E61" i="7"/>
  <c r="K61" i="7" s="1"/>
  <c r="M61" i="7" s="1"/>
  <c r="O61" i="7" s="1"/>
  <c r="C61" i="7"/>
  <c r="T60" i="7"/>
  <c r="M60" i="7"/>
  <c r="O60" i="7" s="1"/>
  <c r="E60" i="7"/>
  <c r="K60" i="7" s="1"/>
  <c r="C60" i="7"/>
  <c r="AA60" i="7" s="1"/>
  <c r="T59" i="7"/>
  <c r="E59" i="7"/>
  <c r="K59" i="7" s="1"/>
  <c r="M59" i="7" s="1"/>
  <c r="O59" i="7" s="1"/>
  <c r="C59" i="7"/>
  <c r="AA59" i="7" s="1"/>
  <c r="T58" i="7"/>
  <c r="M58" i="7"/>
  <c r="O58" i="7" s="1"/>
  <c r="E58" i="7"/>
  <c r="K58" i="7" s="1"/>
  <c r="C58" i="7"/>
  <c r="AA58" i="7" s="1"/>
  <c r="T57" i="7"/>
  <c r="E57" i="7"/>
  <c r="K57" i="7" s="1"/>
  <c r="M57" i="7" s="1"/>
  <c r="O57" i="7" s="1"/>
  <c r="C57" i="7"/>
  <c r="AA57" i="7" s="1"/>
  <c r="T56" i="7"/>
  <c r="M56" i="7"/>
  <c r="O56" i="7" s="1"/>
  <c r="E61" i="1" s="1"/>
  <c r="E56" i="7"/>
  <c r="K56" i="7" s="1"/>
  <c r="C56" i="7"/>
  <c r="AA56" i="7" s="1"/>
  <c r="T55" i="7"/>
  <c r="E55" i="7"/>
  <c r="K55" i="7" s="1"/>
  <c r="M55" i="7" s="1"/>
  <c r="O55" i="7" s="1"/>
  <c r="C55" i="7"/>
  <c r="I45" i="7"/>
  <c r="I42" i="7"/>
  <c r="I38" i="7"/>
  <c r="I39" i="7" s="1"/>
  <c r="K39" i="7" s="1"/>
  <c r="K37" i="7"/>
  <c r="T36" i="7"/>
  <c r="M36" i="7"/>
  <c r="K36" i="7"/>
  <c r="T35" i="7"/>
  <c r="M35" i="7"/>
  <c r="K35" i="7"/>
  <c r="T34" i="7"/>
  <c r="AC68" i="7" s="1"/>
  <c r="AE68" i="7" s="1"/>
  <c r="M34" i="7"/>
  <c r="M39" i="7" s="1"/>
  <c r="K34" i="7"/>
  <c r="T33" i="7"/>
  <c r="M33" i="7"/>
  <c r="K33" i="7"/>
  <c r="M32" i="7"/>
  <c r="K32" i="7"/>
  <c r="I28" i="7"/>
  <c r="I26" i="7"/>
  <c r="K26" i="7" s="1"/>
  <c r="I25" i="7"/>
  <c r="K25" i="7" s="1"/>
  <c r="K24" i="7"/>
  <c r="M23" i="7"/>
  <c r="K23" i="7"/>
  <c r="M22" i="7"/>
  <c r="K22" i="7"/>
  <c r="M21" i="7"/>
  <c r="M26" i="7" s="1"/>
  <c r="K21" i="7"/>
  <c r="M20" i="7"/>
  <c r="K20" i="7"/>
  <c r="M19" i="7"/>
  <c r="K19" i="7"/>
  <c r="E14" i="7"/>
  <c r="C69" i="7" s="1"/>
  <c r="AA69" i="7" s="1"/>
  <c r="E13" i="7"/>
  <c r="C70" i="7" s="1"/>
  <c r="G11" i="7"/>
  <c r="E10" i="7"/>
  <c r="E9" i="7"/>
  <c r="G5" i="7"/>
  <c r="S84" i="6"/>
  <c r="K68" i="6"/>
  <c r="S57" i="6"/>
  <c r="M57" i="6"/>
  <c r="M84" i="6" s="1"/>
  <c r="G57" i="6"/>
  <c r="G84" i="6" s="1"/>
  <c r="C57" i="6"/>
  <c r="C84" i="6" s="1"/>
  <c r="O50" i="6"/>
  <c r="O57" i="6" s="1"/>
  <c r="O84" i="6" s="1"/>
  <c r="M50" i="6"/>
  <c r="L50" i="6"/>
  <c r="L57" i="6" s="1"/>
  <c r="L84" i="6" s="1"/>
  <c r="K50" i="6"/>
  <c r="K57" i="6" s="1"/>
  <c r="K84" i="6" s="1"/>
  <c r="J50" i="6"/>
  <c r="J57" i="6" s="1"/>
  <c r="J84" i="6" s="1"/>
  <c r="I50" i="6"/>
  <c r="I57" i="6" s="1"/>
  <c r="I84" i="6" s="1"/>
  <c r="H50" i="6"/>
  <c r="H57" i="6" s="1"/>
  <c r="H84" i="6" s="1"/>
  <c r="G50" i="6"/>
  <c r="F50" i="6"/>
  <c r="F57" i="6" s="1"/>
  <c r="F84" i="6" s="1"/>
  <c r="E50" i="6"/>
  <c r="E57" i="6" s="1"/>
  <c r="E84" i="6" s="1"/>
  <c r="D50" i="6"/>
  <c r="D57" i="6" s="1"/>
  <c r="D84" i="6" s="1"/>
  <c r="C50" i="6"/>
  <c r="T49" i="6"/>
  <c r="T50" i="6" s="1"/>
  <c r="T57" i="6" s="1"/>
  <c r="T84" i="6" s="1"/>
  <c r="S49" i="6"/>
  <c r="S50" i="6" s="1"/>
  <c r="R49" i="6"/>
  <c r="R50" i="6" s="1"/>
  <c r="R57" i="6" s="1"/>
  <c r="I64" i="6" s="1"/>
  <c r="Q49" i="6"/>
  <c r="Q50" i="6" s="1"/>
  <c r="Q57" i="6" s="1"/>
  <c r="Q84" i="6" s="1"/>
  <c r="P49" i="6"/>
  <c r="P50" i="6" s="1"/>
  <c r="P57" i="6" s="1"/>
  <c r="P84" i="6" s="1"/>
  <c r="O49" i="6"/>
  <c r="N49" i="6"/>
  <c r="N50" i="6" s="1"/>
  <c r="N57" i="6" s="1"/>
  <c r="N84" i="6" s="1"/>
  <c r="M49" i="6"/>
  <c r="L49" i="6"/>
  <c r="Q38" i="6"/>
  <c r="P38" i="6"/>
  <c r="O38" i="6"/>
  <c r="I38" i="6"/>
  <c r="H38" i="6"/>
  <c r="G38" i="6"/>
  <c r="T31" i="6"/>
  <c r="T38" i="6" s="1"/>
  <c r="S31" i="6"/>
  <c r="S38" i="6" s="1"/>
  <c r="R31" i="6"/>
  <c r="R38" i="6" s="1"/>
  <c r="Q31" i="6"/>
  <c r="P31" i="6"/>
  <c r="O31" i="6"/>
  <c r="N31" i="6"/>
  <c r="N38" i="6" s="1"/>
  <c r="M31" i="6"/>
  <c r="M38" i="6" s="1"/>
  <c r="L31" i="6"/>
  <c r="L38" i="6" s="1"/>
  <c r="K31" i="6"/>
  <c r="K38" i="6" s="1"/>
  <c r="J31" i="6"/>
  <c r="J38" i="6" s="1"/>
  <c r="I31" i="6"/>
  <c r="H31" i="6"/>
  <c r="G31" i="6"/>
  <c r="F31" i="6"/>
  <c r="F38" i="6" s="1"/>
  <c r="E31" i="6"/>
  <c r="E38" i="6" s="1"/>
  <c r="D31" i="6"/>
  <c r="D38" i="6" s="1"/>
  <c r="C31" i="6"/>
  <c r="C38" i="6" s="1"/>
  <c r="E126" i="5"/>
  <c r="J117" i="5"/>
  <c r="J116" i="5"/>
  <c r="F128" i="5" s="1"/>
  <c r="J115" i="5"/>
  <c r="F117" i="5" s="1"/>
  <c r="J114" i="5"/>
  <c r="E114" i="5"/>
  <c r="I102" i="5"/>
  <c r="G102" i="5"/>
  <c r="H102" i="5" s="1"/>
  <c r="F102" i="5"/>
  <c r="I88" i="5"/>
  <c r="I87" i="5"/>
  <c r="I86" i="5"/>
  <c r="I85" i="5"/>
  <c r="I84" i="5"/>
  <c r="I83" i="5"/>
  <c r="I82" i="5"/>
  <c r="I81" i="5"/>
  <c r="I77" i="5"/>
  <c r="C104" i="5" s="1"/>
  <c r="I74" i="5"/>
  <c r="I73" i="5"/>
  <c r="I72" i="5"/>
  <c r="I71" i="5"/>
  <c r="I75" i="5" s="1"/>
  <c r="I63" i="5"/>
  <c r="I59" i="5"/>
  <c r="I58" i="5"/>
  <c r="I60" i="5" s="1"/>
  <c r="I53" i="5"/>
  <c r="I52" i="5"/>
  <c r="I51" i="5"/>
  <c r="I50" i="5"/>
  <c r="I49" i="5"/>
  <c r="I54" i="5" s="1"/>
  <c r="I46" i="5"/>
  <c r="I45" i="5"/>
  <c r="I44" i="5"/>
  <c r="I43" i="5"/>
  <c r="I42" i="5"/>
  <c r="I41" i="5"/>
  <c r="I40" i="5"/>
  <c r="I39" i="5"/>
  <c r="I47" i="5" s="1"/>
  <c r="I36" i="5"/>
  <c r="I35" i="5"/>
  <c r="I34" i="5"/>
  <c r="I33" i="5"/>
  <c r="I32" i="5"/>
  <c r="I31" i="5"/>
  <c r="I30" i="5"/>
  <c r="I29" i="5"/>
  <c r="I37" i="5" s="1"/>
  <c r="I28" i="5"/>
  <c r="I27" i="5"/>
  <c r="I23" i="5"/>
  <c r="I22" i="5"/>
  <c r="I21" i="5"/>
  <c r="I20" i="5"/>
  <c r="I24" i="5" s="1"/>
  <c r="I17" i="5"/>
  <c r="I16" i="5"/>
  <c r="I15" i="5"/>
  <c r="I14" i="5"/>
  <c r="I13" i="5"/>
  <c r="I9" i="5"/>
  <c r="I8" i="5"/>
  <c r="I7" i="5"/>
  <c r="J279" i="4"/>
  <c r="J278" i="4"/>
  <c r="F295" i="4" s="1"/>
  <c r="J277" i="4"/>
  <c r="F282" i="4" s="1"/>
  <c r="J276" i="4"/>
  <c r="K245" i="4"/>
  <c r="K250" i="4" s="1"/>
  <c r="D265" i="4" s="1"/>
  <c r="E265" i="4" s="1"/>
  <c r="F265" i="4" s="1"/>
  <c r="J245" i="4"/>
  <c r="K238" i="4"/>
  <c r="J238" i="4"/>
  <c r="F238" i="4"/>
  <c r="I237" i="4"/>
  <c r="I236" i="4"/>
  <c r="I235" i="4"/>
  <c r="I234" i="4"/>
  <c r="K231" i="4"/>
  <c r="J231" i="4"/>
  <c r="F231" i="4"/>
  <c r="I230" i="4"/>
  <c r="I229" i="4"/>
  <c r="K227" i="4"/>
  <c r="J227" i="4"/>
  <c r="F227" i="4"/>
  <c r="I226" i="4"/>
  <c r="I225" i="4"/>
  <c r="I222" i="4"/>
  <c r="F219" i="4"/>
  <c r="I218" i="4"/>
  <c r="I217" i="4"/>
  <c r="I214" i="4"/>
  <c r="F210" i="4"/>
  <c r="I209" i="4"/>
  <c r="I208" i="4"/>
  <c r="I207" i="4"/>
  <c r="I206" i="4"/>
  <c r="I203" i="4"/>
  <c r="K200" i="4"/>
  <c r="J200" i="4"/>
  <c r="F200" i="4"/>
  <c r="I199" i="4"/>
  <c r="I198" i="4"/>
  <c r="I197" i="4"/>
  <c r="I196" i="4"/>
  <c r="I195" i="4"/>
  <c r="I194" i="4"/>
  <c r="I193" i="4"/>
  <c r="I192" i="4"/>
  <c r="F189" i="4"/>
  <c r="I188" i="4"/>
  <c r="I187" i="4"/>
  <c r="F185" i="4"/>
  <c r="I184" i="4"/>
  <c r="I183" i="4"/>
  <c r="K165" i="4"/>
  <c r="D308" i="4" s="1"/>
  <c r="J165" i="4"/>
  <c r="C282" i="4" s="1"/>
  <c r="F152" i="4"/>
  <c r="F147" i="4"/>
  <c r="I134" i="4"/>
  <c r="K125" i="4"/>
  <c r="K131" i="4" s="1"/>
  <c r="D307" i="4" s="1"/>
  <c r="J125" i="4"/>
  <c r="J131" i="4" s="1"/>
  <c r="C281" i="4" s="1"/>
  <c r="I125" i="4"/>
  <c r="F125" i="4"/>
  <c r="I124" i="4"/>
  <c r="I123" i="4"/>
  <c r="I122" i="4"/>
  <c r="F120" i="4"/>
  <c r="I119" i="4"/>
  <c r="I118" i="4"/>
  <c r="I120" i="4" s="1"/>
  <c r="F114" i="4"/>
  <c r="I113" i="4"/>
  <c r="I112" i="4"/>
  <c r="I111" i="4"/>
  <c r="I114" i="4" s="1"/>
  <c r="I108" i="4"/>
  <c r="I105" i="4"/>
  <c r="F105" i="4"/>
  <c r="I104" i="4"/>
  <c r="I103" i="4"/>
  <c r="F101" i="4"/>
  <c r="I100" i="4"/>
  <c r="I99" i="4"/>
  <c r="I101" i="4" s="1"/>
  <c r="F97" i="4"/>
  <c r="K96" i="4"/>
  <c r="J96" i="4"/>
  <c r="I96" i="4"/>
  <c r="I95" i="4"/>
  <c r="I94" i="4"/>
  <c r="I93" i="4"/>
  <c r="I92" i="4"/>
  <c r="I89" i="4"/>
  <c r="F86" i="4"/>
  <c r="I84" i="4"/>
  <c r="I83" i="4"/>
  <c r="I82" i="4"/>
  <c r="I81" i="4"/>
  <c r="I80" i="4"/>
  <c r="I79" i="4"/>
  <c r="I78" i="4"/>
  <c r="I77" i="4"/>
  <c r="I76" i="4"/>
  <c r="I85" i="4" s="1"/>
  <c r="F73" i="4"/>
  <c r="I72" i="4"/>
  <c r="I71" i="4"/>
  <c r="I73" i="4" s="1"/>
  <c r="I68" i="4"/>
  <c r="F68" i="4"/>
  <c r="I67" i="4"/>
  <c r="I66" i="4"/>
  <c r="K43" i="4"/>
  <c r="K49" i="4" s="1"/>
  <c r="J43" i="4"/>
  <c r="F43" i="4"/>
  <c r="I42" i="4"/>
  <c r="I41" i="4"/>
  <c r="K39" i="4"/>
  <c r="J39" i="4"/>
  <c r="F39" i="4"/>
  <c r="I38" i="4"/>
  <c r="I37" i="4"/>
  <c r="I36" i="4"/>
  <c r="K34" i="4"/>
  <c r="J34" i="4"/>
  <c r="F34" i="4"/>
  <c r="I33" i="4"/>
  <c r="I32" i="4"/>
  <c r="K30" i="4"/>
  <c r="J30" i="4"/>
  <c r="F30" i="4"/>
  <c r="I29" i="4"/>
  <c r="I28" i="4"/>
  <c r="K26" i="4"/>
  <c r="J26" i="4"/>
  <c r="I25" i="4"/>
  <c r="I24" i="4"/>
  <c r="K22" i="4"/>
  <c r="J22" i="4"/>
  <c r="F22" i="4"/>
  <c r="I21" i="4"/>
  <c r="I20" i="4"/>
  <c r="K17" i="4"/>
  <c r="J17" i="4"/>
  <c r="F17" i="4"/>
  <c r="I16" i="4"/>
  <c r="I15" i="4"/>
  <c r="I12" i="4"/>
  <c r="C247" i="3"/>
  <c r="C241" i="3"/>
  <c r="C240" i="3"/>
  <c r="C239" i="3" s="1"/>
  <c r="E172" i="1" s="1"/>
  <c r="C238" i="3"/>
  <c r="H211" i="3"/>
  <c r="H210" i="3"/>
  <c r="F210" i="3"/>
  <c r="F209" i="3"/>
  <c r="H209" i="3" s="1"/>
  <c r="H208" i="3"/>
  <c r="F206" i="3"/>
  <c r="H206" i="3" s="1"/>
  <c r="F205" i="3"/>
  <c r="H205" i="3" s="1"/>
  <c r="H204" i="3"/>
  <c r="H203" i="3"/>
  <c r="C220" i="3" s="1"/>
  <c r="H198" i="3"/>
  <c r="H197" i="3"/>
  <c r="F197" i="3"/>
  <c r="H196" i="3"/>
  <c r="F196" i="3"/>
  <c r="H195" i="3"/>
  <c r="H193" i="3"/>
  <c r="F193" i="3"/>
  <c r="H192" i="3"/>
  <c r="F192" i="3"/>
  <c r="H191" i="3"/>
  <c r="H190" i="3"/>
  <c r="H194" i="3" s="1"/>
  <c r="D183" i="3"/>
  <c r="D182" i="3"/>
  <c r="D179" i="3"/>
  <c r="D178" i="3"/>
  <c r="D176" i="3"/>
  <c r="D175" i="3"/>
  <c r="D169" i="3"/>
  <c r="C169" i="3"/>
  <c r="C168" i="3"/>
  <c r="C167" i="3"/>
  <c r="D166" i="3"/>
  <c r="C166" i="3"/>
  <c r="D165" i="3"/>
  <c r="C165" i="3"/>
  <c r="D164" i="3"/>
  <c r="C164" i="3"/>
  <c r="D158" i="3"/>
  <c r="C158" i="3"/>
  <c r="D157" i="3"/>
  <c r="C157" i="3"/>
  <c r="C156" i="3"/>
  <c r="D155" i="3"/>
  <c r="C155" i="3"/>
  <c r="D154" i="3"/>
  <c r="C154" i="3"/>
  <c r="D153" i="3"/>
  <c r="C153" i="3"/>
  <c r="D148" i="3"/>
  <c r="D147" i="3"/>
  <c r="D146" i="3"/>
  <c r="D168" i="3" s="1"/>
  <c r="D145" i="3"/>
  <c r="D144" i="3"/>
  <c r="C116" i="3"/>
  <c r="C119" i="3" s="1"/>
  <c r="C113" i="3"/>
  <c r="C104" i="3"/>
  <c r="C101" i="3"/>
  <c r="C122" i="3" s="1"/>
  <c r="C64" i="3"/>
  <c r="C63" i="3"/>
  <c r="C237" i="3" s="1"/>
  <c r="C62" i="3"/>
  <c r="C236" i="3" s="1"/>
  <c r="C61" i="3"/>
  <c r="C235" i="3" s="1"/>
  <c r="C60" i="3"/>
  <c r="C234" i="3" s="1"/>
  <c r="C59" i="3"/>
  <c r="C233" i="3" s="1"/>
  <c r="K7" i="3"/>
  <c r="K6" i="3"/>
  <c r="F88" i="3" s="1"/>
  <c r="G88" i="3" s="1"/>
  <c r="C243" i="3" s="1"/>
  <c r="K5" i="3"/>
  <c r="C224" i="3" s="1"/>
  <c r="K4" i="3"/>
  <c r="K3" i="3"/>
  <c r="D56" i="2"/>
  <c r="D47" i="2"/>
  <c r="D44" i="2"/>
  <c r="E103" i="1" s="1"/>
  <c r="E102" i="1" s="1"/>
  <c r="J32" i="2"/>
  <c r="L32" i="2" s="1"/>
  <c r="H27" i="2"/>
  <c r="L22" i="2"/>
  <c r="D51" i="2" s="1"/>
  <c r="AG19" i="2"/>
  <c r="AF19" i="2"/>
  <c r="AE19" i="2"/>
  <c r="AD19" i="2"/>
  <c r="AC19" i="2"/>
  <c r="AB19" i="2"/>
  <c r="AA19" i="2"/>
  <c r="Z19" i="2"/>
  <c r="Y19" i="2"/>
  <c r="X19" i="2"/>
  <c r="W19" i="2"/>
  <c r="V19" i="2"/>
  <c r="U19" i="2"/>
  <c r="T19" i="2"/>
  <c r="AH18" i="2"/>
  <c r="L17" i="2"/>
  <c r="L16" i="2"/>
  <c r="J16" i="2" s="1"/>
  <c r="H16" i="2"/>
  <c r="J12" i="2"/>
  <c r="H12" i="2" s="1"/>
  <c r="J11" i="2"/>
  <c r="H11" i="2"/>
  <c r="P9" i="2"/>
  <c r="P8" i="2"/>
  <c r="P7" i="2"/>
  <c r="J7" i="2"/>
  <c r="H7" i="2" s="1"/>
  <c r="P6" i="2"/>
  <c r="J6" i="2"/>
  <c r="H6" i="2" s="1"/>
  <c r="J5" i="2"/>
  <c r="C194" i="1"/>
  <c r="C193" i="1"/>
  <c r="C192" i="1"/>
  <c r="C191" i="1"/>
  <c r="E178" i="1"/>
  <c r="E165" i="1"/>
  <c r="E164" i="1" s="1"/>
  <c r="E153" i="1"/>
  <c r="E126" i="1"/>
  <c r="E118" i="1"/>
  <c r="E113" i="1"/>
  <c r="E110" i="1" s="1"/>
  <c r="E85" i="1"/>
  <c r="E82" i="1"/>
  <c r="E77" i="1"/>
  <c r="E69" i="1"/>
  <c r="E65" i="1"/>
  <c r="E59" i="1"/>
  <c r="E58" i="1"/>
  <c r="E57" i="1"/>
  <c r="E53" i="1"/>
  <c r="E51" i="1"/>
  <c r="E50" i="1"/>
  <c r="E49" i="1"/>
  <c r="E40" i="1"/>
  <c r="E36" i="1"/>
  <c r="E32" i="1"/>
  <c r="E25" i="1"/>
  <c r="D195" i="1" l="1"/>
  <c r="F115" i="5"/>
  <c r="F116" i="5"/>
  <c r="V58" i="7"/>
  <c r="X58" i="7" s="1"/>
  <c r="F114" i="5"/>
  <c r="G114" i="5" s="1"/>
  <c r="F139" i="5" s="1"/>
  <c r="W36" i="14"/>
  <c r="X36" i="14" s="1"/>
  <c r="W13" i="14"/>
  <c r="X13" i="14" s="1"/>
  <c r="W69" i="14"/>
  <c r="V56" i="7"/>
  <c r="X56" i="7" s="1"/>
  <c r="W31" i="14"/>
  <c r="X31" i="14" s="1"/>
  <c r="W46" i="14"/>
  <c r="X46" i="14" s="1"/>
  <c r="W62" i="14"/>
  <c r="X62" i="14" s="1"/>
  <c r="W65" i="14"/>
  <c r="X65" i="14" s="1"/>
  <c r="W68" i="14"/>
  <c r="X68" i="14" s="1"/>
  <c r="W14" i="14"/>
  <c r="X14" i="14" s="1"/>
  <c r="W16" i="14"/>
  <c r="X16" i="14" s="1"/>
  <c r="W30" i="14"/>
  <c r="X30" i="14" s="1"/>
  <c r="W11" i="14"/>
  <c r="X11" i="14" s="1"/>
  <c r="W35" i="14"/>
  <c r="W74" i="14"/>
  <c r="W55" i="14"/>
  <c r="X55" i="14" s="1"/>
  <c r="W59" i="14"/>
  <c r="X59" i="14" s="1"/>
  <c r="W60" i="14"/>
  <c r="X60" i="14" s="1"/>
  <c r="W67" i="14"/>
  <c r="X67" i="14" s="1"/>
  <c r="V81" i="14"/>
  <c r="W20" i="14"/>
  <c r="X20" i="14" s="1"/>
  <c r="W45" i="14"/>
  <c r="X45" i="14" s="1"/>
  <c r="W50" i="14"/>
  <c r="C123" i="3"/>
  <c r="C124" i="3" s="1"/>
  <c r="C246" i="3" s="1"/>
  <c r="E177" i="1" s="1"/>
  <c r="C120" i="3"/>
  <c r="C121" i="3" s="1"/>
  <c r="W10" i="14"/>
  <c r="W53" i="14"/>
  <c r="X53" i="14" s="1"/>
  <c r="W71" i="14"/>
  <c r="X71" i="14" s="1"/>
  <c r="K17" i="20"/>
  <c r="M17" i="20" s="1"/>
  <c r="K23" i="20"/>
  <c r="M23" i="20" s="1"/>
  <c r="U35" i="20"/>
  <c r="W35" i="20" s="1"/>
  <c r="U40" i="20"/>
  <c r="W40" i="20" s="1"/>
  <c r="O81" i="14"/>
  <c r="F40" i="9"/>
  <c r="G40" i="9" s="1"/>
  <c r="E57" i="9" s="1"/>
  <c r="G57" i="9" s="1"/>
  <c r="AA196" i="20"/>
  <c r="AC196" i="20" s="1"/>
  <c r="F41" i="9"/>
  <c r="G41" i="9" s="1"/>
  <c r="E58" i="9" s="1"/>
  <c r="F37" i="9"/>
  <c r="G37" i="9" s="1"/>
  <c r="E54" i="9" s="1"/>
  <c r="F31" i="8"/>
  <c r="G31" i="8" s="1"/>
  <c r="E46" i="8" s="1"/>
  <c r="L29" i="18"/>
  <c r="C49" i="18" s="1"/>
  <c r="AC64" i="7"/>
  <c r="AE64" i="7" s="1"/>
  <c r="L9" i="18"/>
  <c r="D21" i="18" s="1"/>
  <c r="L15" i="18"/>
  <c r="K7" i="20"/>
  <c r="M7" i="20" s="1"/>
  <c r="U45" i="20"/>
  <c r="W45" i="20" s="1"/>
  <c r="U51" i="20"/>
  <c r="W51" i="20" s="1"/>
  <c r="G74" i="10"/>
  <c r="H74" i="10" s="1"/>
  <c r="F105" i="10" s="1"/>
  <c r="H28" i="18"/>
  <c r="C55" i="18" s="1"/>
  <c r="L28" i="18"/>
  <c r="U19" i="19"/>
  <c r="Y19" i="19" s="1"/>
  <c r="AA19" i="19" s="1"/>
  <c r="C32" i="19" s="1"/>
  <c r="C30" i="19" s="1"/>
  <c r="AC69" i="7"/>
  <c r="AE69" i="7" s="1"/>
  <c r="N6" i="18"/>
  <c r="D20" i="18" s="1"/>
  <c r="H29" i="18"/>
  <c r="C56" i="18" s="1"/>
  <c r="V68" i="7"/>
  <c r="X68" i="7" s="1"/>
  <c r="AG68" i="7" s="1"/>
  <c r="L13" i="18"/>
  <c r="C242" i="3"/>
  <c r="E174" i="1"/>
  <c r="E173" i="1" s="1"/>
  <c r="AC56" i="7"/>
  <c r="AE56" i="7" s="1"/>
  <c r="AC59" i="7"/>
  <c r="AE59" i="7" s="1"/>
  <c r="E66" i="1" s="1"/>
  <c r="V66" i="7"/>
  <c r="X66" i="7" s="1"/>
  <c r="G45" i="10"/>
  <c r="H45" i="10" s="1"/>
  <c r="G107" i="10" s="1"/>
  <c r="K8" i="20"/>
  <c r="M8" i="20" s="1"/>
  <c r="K12" i="20"/>
  <c r="M12" i="20" s="1"/>
  <c r="K24" i="20"/>
  <c r="M24" i="20" s="1"/>
  <c r="U52" i="20"/>
  <c r="W52" i="20" s="1"/>
  <c r="U58" i="20"/>
  <c r="W58" i="20" s="1"/>
  <c r="AA189" i="20"/>
  <c r="AC189" i="20" s="1"/>
  <c r="AC57" i="7"/>
  <c r="AE57" i="7" s="1"/>
  <c r="V61" i="7"/>
  <c r="X61" i="7" s="1"/>
  <c r="V64" i="7"/>
  <c r="X64" i="7" s="1"/>
  <c r="AG64" i="7" s="1"/>
  <c r="AC67" i="7"/>
  <c r="AE67" i="7" s="1"/>
  <c r="F26" i="17"/>
  <c r="F50" i="17"/>
  <c r="K13" i="20"/>
  <c r="M13" i="20" s="1"/>
  <c r="K18" i="20"/>
  <c r="M18" i="20" s="1"/>
  <c r="U36" i="20"/>
  <c r="W36" i="20" s="1"/>
  <c r="U42" i="20"/>
  <c r="W42" i="20" s="1"/>
  <c r="U46" i="20"/>
  <c r="W46" i="20" s="1"/>
  <c r="U53" i="20"/>
  <c r="W53" i="20" s="1"/>
  <c r="Q81" i="20"/>
  <c r="S81" i="20" s="1"/>
  <c r="U81" i="20" s="1"/>
  <c r="AA192" i="20"/>
  <c r="AC192" i="20" s="1"/>
  <c r="F49" i="17"/>
  <c r="V59" i="7"/>
  <c r="X59" i="7" s="1"/>
  <c r="AC65" i="7"/>
  <c r="AE65" i="7" s="1"/>
  <c r="F19" i="8"/>
  <c r="G19" i="8" s="1"/>
  <c r="D47" i="8" s="1"/>
  <c r="F32" i="17"/>
  <c r="H27" i="18"/>
  <c r="C54" i="18" s="1"/>
  <c r="C47" i="18"/>
  <c r="K6" i="20"/>
  <c r="K19" i="20"/>
  <c r="M19" i="20" s="1"/>
  <c r="U43" i="20"/>
  <c r="W43" i="20" s="1"/>
  <c r="V55" i="7"/>
  <c r="X55" i="7" s="1"/>
  <c r="V57" i="7"/>
  <c r="X57" i="7" s="1"/>
  <c r="AC60" i="7"/>
  <c r="AE60" i="7" s="1"/>
  <c r="V67" i="7"/>
  <c r="X67" i="7" s="1"/>
  <c r="AG67" i="7" s="1"/>
  <c r="F38" i="9"/>
  <c r="G38" i="9" s="1"/>
  <c r="F42" i="9"/>
  <c r="G42" i="9" s="1"/>
  <c r="E59" i="9" s="1"/>
  <c r="C43" i="15"/>
  <c r="C45" i="15" s="1"/>
  <c r="E155" i="1" s="1"/>
  <c r="E152" i="1" s="1"/>
  <c r="F8" i="17"/>
  <c r="F33" i="17"/>
  <c r="K14" i="20"/>
  <c r="M14" i="20" s="1"/>
  <c r="U31" i="20"/>
  <c r="W31" i="20" s="1"/>
  <c r="U37" i="20"/>
  <c r="W37" i="20" s="1"/>
  <c r="U49" i="20"/>
  <c r="W49" i="20" s="1"/>
  <c r="U55" i="20"/>
  <c r="W55" i="20" s="1"/>
  <c r="E228" i="20"/>
  <c r="AC58" i="7"/>
  <c r="AE58" i="7" s="1"/>
  <c r="V65" i="7"/>
  <c r="X65" i="7" s="1"/>
  <c r="F33" i="8"/>
  <c r="G33" i="8" s="1"/>
  <c r="E48" i="8" s="1"/>
  <c r="G48" i="10"/>
  <c r="H48" i="10" s="1"/>
  <c r="G110" i="10" s="1"/>
  <c r="F9" i="17"/>
  <c r="F27" i="17"/>
  <c r="K9" i="20"/>
  <c r="M9" i="20" s="1"/>
  <c r="K15" i="20"/>
  <c r="M15" i="20" s="1"/>
  <c r="K21" i="20"/>
  <c r="M21" i="20" s="1"/>
  <c r="U38" i="20"/>
  <c r="W38" i="20" s="1"/>
  <c r="AA194" i="20"/>
  <c r="AC194" i="20" s="1"/>
  <c r="E230" i="20"/>
  <c r="F21" i="8"/>
  <c r="G21" i="8" s="1"/>
  <c r="D49" i="8" s="1"/>
  <c r="F39" i="9"/>
  <c r="G39" i="9" s="1"/>
  <c r="E56" i="9" s="1"/>
  <c r="F43" i="9"/>
  <c r="G43" i="9" s="1"/>
  <c r="E60" i="9" s="1"/>
  <c r="G43" i="10"/>
  <c r="H43" i="10" s="1"/>
  <c r="G105" i="10" s="1"/>
  <c r="F48" i="17"/>
  <c r="K22" i="20"/>
  <c r="M22" i="20" s="1"/>
  <c r="U33" i="20"/>
  <c r="W33" i="20" s="1"/>
  <c r="U39" i="20"/>
  <c r="W39" i="20" s="1"/>
  <c r="U44" i="20"/>
  <c r="W44" i="20" s="1"/>
  <c r="U50" i="20"/>
  <c r="W50" i="20" s="1"/>
  <c r="U56" i="20"/>
  <c r="W56" i="20" s="1"/>
  <c r="V60" i="7"/>
  <c r="X60" i="7" s="1"/>
  <c r="AC66" i="7"/>
  <c r="AE66" i="7" s="1"/>
  <c r="K11" i="20"/>
  <c r="M11" i="20" s="1"/>
  <c r="K16" i="20"/>
  <c r="M16" i="20" s="1"/>
  <c r="U34" i="20"/>
  <c r="W34" i="20" s="1"/>
  <c r="U57" i="20"/>
  <c r="W57" i="20" s="1"/>
  <c r="AA191" i="20"/>
  <c r="AC191" i="20" s="1"/>
  <c r="G265" i="4"/>
  <c r="C293" i="4"/>
  <c r="E281" i="4"/>
  <c r="E72" i="1"/>
  <c r="F104" i="5"/>
  <c r="G104" i="5" s="1"/>
  <c r="H104" i="5" s="1"/>
  <c r="I104" i="5" s="1"/>
  <c r="C116" i="5"/>
  <c r="G15" i="9"/>
  <c r="D54" i="9"/>
  <c r="T15" i="14"/>
  <c r="U15" i="14"/>
  <c r="V15" i="14" s="1"/>
  <c r="W15" i="14" s="1"/>
  <c r="X15" i="14" s="1"/>
  <c r="E48" i="1"/>
  <c r="E56" i="1"/>
  <c r="C232" i="3"/>
  <c r="I210" i="4"/>
  <c r="G12" i="8"/>
  <c r="C46" i="8"/>
  <c r="L15" i="13"/>
  <c r="M9" i="13"/>
  <c r="M15" i="13" s="1"/>
  <c r="E107" i="1" s="1"/>
  <c r="D159" i="3"/>
  <c r="C218" i="3" s="1"/>
  <c r="I97" i="4"/>
  <c r="I89" i="5"/>
  <c r="I91" i="5" s="1"/>
  <c r="C105" i="5" s="1"/>
  <c r="D261" i="4"/>
  <c r="D306" i="4"/>
  <c r="C294" i="4"/>
  <c r="E282" i="4"/>
  <c r="G282" i="4" s="1"/>
  <c r="F308" i="4" s="1"/>
  <c r="J250" i="4"/>
  <c r="F280" i="4"/>
  <c r="F283" i="4"/>
  <c r="F281" i="4"/>
  <c r="D309" i="4"/>
  <c r="U42" i="14"/>
  <c r="V42" i="14" s="1"/>
  <c r="W42" i="14" s="1"/>
  <c r="T42" i="14"/>
  <c r="D45" i="2"/>
  <c r="E123" i="1" s="1"/>
  <c r="J17" i="2"/>
  <c r="J102" i="5"/>
  <c r="M66" i="11"/>
  <c r="J66" i="11"/>
  <c r="E84" i="1"/>
  <c r="J27" i="2"/>
  <c r="L27" i="2" s="1"/>
  <c r="D54" i="2" s="1"/>
  <c r="E117" i="1" s="1"/>
  <c r="D156" i="3"/>
  <c r="D160" i="3" s="1"/>
  <c r="C219" i="3" s="1"/>
  <c r="D149" i="3"/>
  <c r="D167" i="3"/>
  <c r="D171" i="3" s="1"/>
  <c r="C223" i="3" s="1"/>
  <c r="D170" i="3"/>
  <c r="C222" i="3" s="1"/>
  <c r="J168" i="4"/>
  <c r="C263" i="4" s="1"/>
  <c r="I10" i="5"/>
  <c r="I66" i="5" s="1"/>
  <c r="C103" i="5" s="1"/>
  <c r="H5" i="2"/>
  <c r="D43" i="2"/>
  <c r="J49" i="4"/>
  <c r="D46" i="8"/>
  <c r="F292" i="4"/>
  <c r="F294" i="4"/>
  <c r="F127" i="5"/>
  <c r="F129" i="5"/>
  <c r="P10" i="14"/>
  <c r="Q17" i="14"/>
  <c r="O17" i="14"/>
  <c r="P17" i="14" s="1"/>
  <c r="U26" i="14"/>
  <c r="V26" i="14" s="1"/>
  <c r="W26" i="14" s="1"/>
  <c r="X26" i="14" s="1"/>
  <c r="T26" i="14"/>
  <c r="U39" i="14"/>
  <c r="V39" i="14" s="1"/>
  <c r="W39" i="14" s="1"/>
  <c r="X39" i="14" s="1"/>
  <c r="T39" i="14"/>
  <c r="O42" i="14"/>
  <c r="P42" i="14" s="1"/>
  <c r="Q42" i="14"/>
  <c r="K168" i="4"/>
  <c r="D263" i="4" s="1"/>
  <c r="E263" i="4" s="1"/>
  <c r="F263" i="4" s="1"/>
  <c r="F24" i="9"/>
  <c r="G24" i="9" s="1"/>
  <c r="F56" i="9" s="1"/>
  <c r="F29" i="9"/>
  <c r="G29" i="9" s="1"/>
  <c r="F61" i="9" s="1"/>
  <c r="G61" i="9" s="1"/>
  <c r="F26" i="9"/>
  <c r="G26" i="9" s="1"/>
  <c r="F58" i="9" s="1"/>
  <c r="F23" i="9"/>
  <c r="G23" i="9" s="1"/>
  <c r="F55" i="9" s="1"/>
  <c r="F28" i="9"/>
  <c r="G28" i="9" s="1"/>
  <c r="F60" i="9" s="1"/>
  <c r="F22" i="9"/>
  <c r="G22" i="9" s="1"/>
  <c r="E70" i="6"/>
  <c r="E74" i="6" s="1"/>
  <c r="E76" i="6" s="1"/>
  <c r="D70" i="6"/>
  <c r="C70" i="6"/>
  <c r="R85" i="6"/>
  <c r="I70" i="6"/>
  <c r="G70" i="6"/>
  <c r="T69" i="7"/>
  <c r="V69" i="7" s="1"/>
  <c r="X69" i="7" s="1"/>
  <c r="J30" i="10"/>
  <c r="E122" i="10" s="1"/>
  <c r="E100" i="10"/>
  <c r="T73" i="14"/>
  <c r="U73" i="14"/>
  <c r="V73" i="14" s="1"/>
  <c r="W73" i="14" s="1"/>
  <c r="X73" i="14" s="1"/>
  <c r="C65" i="3"/>
  <c r="F293" i="4"/>
  <c r="F126" i="5"/>
  <c r="G126" i="5" s="1"/>
  <c r="F70" i="6"/>
  <c r="F74" i="6" s="1"/>
  <c r="F76" i="6" s="1"/>
  <c r="M88" i="7"/>
  <c r="S149" i="20"/>
  <c r="S177" i="20" s="1"/>
  <c r="M177" i="20"/>
  <c r="H70" i="6"/>
  <c r="H74" i="6" s="1"/>
  <c r="H76" i="6" s="1"/>
  <c r="G35" i="8"/>
  <c r="Q22" i="14"/>
  <c r="O22" i="14"/>
  <c r="P22" i="14" s="1"/>
  <c r="U25" i="14"/>
  <c r="V25" i="14" s="1"/>
  <c r="W25" i="14" s="1"/>
  <c r="X25" i="14" s="1"/>
  <c r="T25" i="14"/>
  <c r="U38" i="14"/>
  <c r="V38" i="14" s="1"/>
  <c r="W38" i="14" s="1"/>
  <c r="X38" i="14" s="1"/>
  <c r="Q51" i="14"/>
  <c r="O51" i="14"/>
  <c r="P51" i="14" s="1"/>
  <c r="J70" i="6"/>
  <c r="J74" i="6" s="1"/>
  <c r="J76" i="6" s="1"/>
  <c r="F27" i="9"/>
  <c r="G27" i="9" s="1"/>
  <c r="F59" i="9" s="1"/>
  <c r="J76" i="14"/>
  <c r="F36" i="8"/>
  <c r="G36" i="8" s="1"/>
  <c r="G87" i="10"/>
  <c r="H87" i="10" s="1"/>
  <c r="F118" i="10" s="1"/>
  <c r="G79" i="10"/>
  <c r="H79" i="10" s="1"/>
  <c r="F110" i="10" s="1"/>
  <c r="G71" i="10"/>
  <c r="H71" i="10" s="1"/>
  <c r="F102" i="10" s="1"/>
  <c r="G84" i="10"/>
  <c r="H84" i="10" s="1"/>
  <c r="F115" i="10" s="1"/>
  <c r="G76" i="10"/>
  <c r="H76" i="10" s="1"/>
  <c r="F107" i="10" s="1"/>
  <c r="G89" i="10"/>
  <c r="H89" i="10" s="1"/>
  <c r="F120" i="10" s="1"/>
  <c r="G81" i="10"/>
  <c r="H81" i="10" s="1"/>
  <c r="F112" i="10" s="1"/>
  <c r="G73" i="10"/>
  <c r="H73" i="10" s="1"/>
  <c r="F104" i="10" s="1"/>
  <c r="G86" i="10"/>
  <c r="H86" i="10" s="1"/>
  <c r="F117" i="10" s="1"/>
  <c r="G78" i="10"/>
  <c r="H78" i="10" s="1"/>
  <c r="F109" i="10" s="1"/>
  <c r="G70" i="10"/>
  <c r="H70" i="10" s="1"/>
  <c r="G91" i="10"/>
  <c r="G83" i="10"/>
  <c r="H83" i="10" s="1"/>
  <c r="F114" i="10" s="1"/>
  <c r="G75" i="10"/>
  <c r="H75" i="10" s="1"/>
  <c r="F106" i="10" s="1"/>
  <c r="G53" i="10"/>
  <c r="H53" i="10" s="1"/>
  <c r="G115" i="10" s="1"/>
  <c r="G88" i="10"/>
  <c r="H88" i="10" s="1"/>
  <c r="F119" i="10" s="1"/>
  <c r="G29" i="11"/>
  <c r="G46" i="11" s="1"/>
  <c r="G48" i="11" s="1"/>
  <c r="E95" i="1" s="1"/>
  <c r="R17" i="14"/>
  <c r="U18" i="14"/>
  <c r="V18" i="14" s="1"/>
  <c r="W18" i="14" s="1"/>
  <c r="X18" i="14" s="1"/>
  <c r="T18" i="14"/>
  <c r="AA205" i="20"/>
  <c r="AC205" i="20" s="1"/>
  <c r="AA55" i="7"/>
  <c r="AC55" i="7" s="1"/>
  <c r="AE55" i="7" s="1"/>
  <c r="AA61" i="7"/>
  <c r="AC61" i="7" s="1"/>
  <c r="AE61" i="7" s="1"/>
  <c r="F22" i="8"/>
  <c r="G22" i="8" s="1"/>
  <c r="F34" i="8"/>
  <c r="G34" i="8" s="1"/>
  <c r="E49" i="8" s="1"/>
  <c r="G39" i="10"/>
  <c r="H39" i="10" s="1"/>
  <c r="G101" i="10" s="1"/>
  <c r="G41" i="10"/>
  <c r="H41" i="10" s="1"/>
  <c r="G103" i="10" s="1"/>
  <c r="G46" i="10"/>
  <c r="H46" i="10" s="1"/>
  <c r="G108" i="10" s="1"/>
  <c r="H59" i="10"/>
  <c r="G121" i="10" s="1"/>
  <c r="H121" i="10" s="1"/>
  <c r="G80" i="10"/>
  <c r="H80" i="10" s="1"/>
  <c r="F111" i="10" s="1"/>
  <c r="G85" i="10"/>
  <c r="H85" i="10" s="1"/>
  <c r="F116" i="10" s="1"/>
  <c r="U41" i="14"/>
  <c r="V41" i="14" s="1"/>
  <c r="W41" i="14" s="1"/>
  <c r="X41" i="14" s="1"/>
  <c r="T41" i="14"/>
  <c r="V80" i="14"/>
  <c r="V82" i="14" s="1"/>
  <c r="V85" i="14" s="1"/>
  <c r="U57" i="14"/>
  <c r="V57" i="14" s="1"/>
  <c r="W57" i="14" s="1"/>
  <c r="X57" i="14" s="1"/>
  <c r="T57" i="14"/>
  <c r="K88" i="7"/>
  <c r="X35" i="14"/>
  <c r="K38" i="7"/>
  <c r="F20" i="8"/>
  <c r="G20" i="8" s="1"/>
  <c r="F32" i="8"/>
  <c r="G32" i="8" s="1"/>
  <c r="G58" i="10"/>
  <c r="H58" i="10" s="1"/>
  <c r="G120" i="10" s="1"/>
  <c r="G50" i="10"/>
  <c r="H50" i="10" s="1"/>
  <c r="G112" i="10" s="1"/>
  <c r="G55" i="10"/>
  <c r="H55" i="10" s="1"/>
  <c r="G117" i="10" s="1"/>
  <c r="G60" i="10"/>
  <c r="H60" i="10" s="1"/>
  <c r="G122" i="10" s="1"/>
  <c r="G52" i="10"/>
  <c r="H52" i="10" s="1"/>
  <c r="G114" i="10" s="1"/>
  <c r="G57" i="10"/>
  <c r="H57" i="10" s="1"/>
  <c r="G119" i="10" s="1"/>
  <c r="G49" i="10"/>
  <c r="H49" i="10" s="1"/>
  <c r="G111" i="10" s="1"/>
  <c r="G54" i="10"/>
  <c r="H54" i="10" s="1"/>
  <c r="G116" i="10" s="1"/>
  <c r="G44" i="10"/>
  <c r="H44" i="10" s="1"/>
  <c r="G106" i="10" s="1"/>
  <c r="G47" i="10"/>
  <c r="H47" i="10" s="1"/>
  <c r="G109" i="10" s="1"/>
  <c r="G72" i="10"/>
  <c r="H72" i="10" s="1"/>
  <c r="F103" i="10" s="1"/>
  <c r="G77" i="10"/>
  <c r="H77" i="10" s="1"/>
  <c r="F108" i="10" s="1"/>
  <c r="U28" i="14"/>
  <c r="T28" i="14"/>
  <c r="E30" i="15"/>
  <c r="E32" i="15" s="1"/>
  <c r="E34" i="15" s="1"/>
  <c r="E41" i="15"/>
  <c r="E45" i="15" s="1"/>
  <c r="W5" i="19"/>
  <c r="Y5" i="19" s="1"/>
  <c r="C28" i="19" s="1"/>
  <c r="E234" i="20"/>
  <c r="E233" i="20"/>
  <c r="AA206" i="20"/>
  <c r="AC206" i="20" s="1"/>
  <c r="AA204" i="20"/>
  <c r="Q78" i="20"/>
  <c r="S78" i="20" s="1"/>
  <c r="U78" i="20" s="1"/>
  <c r="Q67" i="20"/>
  <c r="S67" i="20" s="1"/>
  <c r="U67" i="20" s="1"/>
  <c r="AA212" i="20"/>
  <c r="AC212" i="20" s="1"/>
  <c r="AA210" i="20"/>
  <c r="AC210" i="20" s="1"/>
  <c r="AA208" i="20"/>
  <c r="AC208" i="20" s="1"/>
  <c r="Q84" i="20"/>
  <c r="S84" i="20" s="1"/>
  <c r="U84" i="20" s="1"/>
  <c r="Q73" i="20"/>
  <c r="S73" i="20" s="1"/>
  <c r="U73" i="20" s="1"/>
  <c r="Q80" i="20"/>
  <c r="S80" i="20" s="1"/>
  <c r="U80" i="20" s="1"/>
  <c r="Q70" i="20"/>
  <c r="S70" i="20" s="1"/>
  <c r="U70" i="20" s="1"/>
  <c r="Q77" i="20"/>
  <c r="S77" i="20" s="1"/>
  <c r="U77" i="20" s="1"/>
  <c r="Q65" i="20"/>
  <c r="S65" i="20" s="1"/>
  <c r="U65" i="20" s="1"/>
  <c r="AA211" i="20"/>
  <c r="AC211" i="20" s="1"/>
  <c r="AA209" i="20"/>
  <c r="AC209" i="20" s="1"/>
  <c r="AA207" i="20"/>
  <c r="AC207" i="20" s="1"/>
  <c r="Q79" i="20"/>
  <c r="S79" i="20" s="1"/>
  <c r="U79" i="20" s="1"/>
  <c r="Q68" i="20"/>
  <c r="S68" i="20" s="1"/>
  <c r="U68" i="20" s="1"/>
  <c r="Q71" i="20"/>
  <c r="S71" i="20" s="1"/>
  <c r="U71" i="20" s="1"/>
  <c r="Q74" i="20"/>
  <c r="S74" i="20" s="1"/>
  <c r="U74" i="20" s="1"/>
  <c r="E235" i="20"/>
  <c r="E146" i="1" s="1"/>
  <c r="Q72" i="20"/>
  <c r="S72" i="20" s="1"/>
  <c r="U72" i="20" s="1"/>
  <c r="E232" i="20"/>
  <c r="F23" i="8"/>
  <c r="G23" i="8" s="1"/>
  <c r="G51" i="10"/>
  <c r="H51" i="10" s="1"/>
  <c r="G113" i="10" s="1"/>
  <c r="G56" i="10"/>
  <c r="H56" i="10" s="1"/>
  <c r="G118" i="10" s="1"/>
  <c r="G82" i="10"/>
  <c r="H82" i="10" s="1"/>
  <c r="F113" i="10" s="1"/>
  <c r="H91" i="10"/>
  <c r="F122" i="10" s="1"/>
  <c r="T16" i="14"/>
  <c r="R23" i="14"/>
  <c r="M23" i="14"/>
  <c r="M28" i="14"/>
  <c r="M33" i="14"/>
  <c r="U48" i="14"/>
  <c r="V48" i="14" s="1"/>
  <c r="W48" i="14" s="1"/>
  <c r="X48" i="14" s="1"/>
  <c r="T48" i="14"/>
  <c r="G38" i="10"/>
  <c r="H38" i="10" s="1"/>
  <c r="G40" i="10"/>
  <c r="H40" i="10" s="1"/>
  <c r="G102" i="10" s="1"/>
  <c r="G42" i="10"/>
  <c r="H42" i="10" s="1"/>
  <c r="G104" i="10" s="1"/>
  <c r="G69" i="10"/>
  <c r="H69" i="10" s="1"/>
  <c r="U33" i="14"/>
  <c r="U43" i="14"/>
  <c r="V43" i="14" s="1"/>
  <c r="W43" i="14" s="1"/>
  <c r="X43" i="14" s="1"/>
  <c r="T43" i="14"/>
  <c r="T67" i="14"/>
  <c r="Q64" i="20"/>
  <c r="C38" i="18"/>
  <c r="C48" i="18"/>
  <c r="E117" i="20"/>
  <c r="U177" i="20"/>
  <c r="R22" i="14"/>
  <c r="R51" i="14"/>
  <c r="V88" i="14"/>
  <c r="W99" i="20"/>
  <c r="S99" i="20"/>
  <c r="S111" i="20" s="1"/>
  <c r="AA90" i="20" s="1"/>
  <c r="X69" i="14"/>
  <c r="I25" i="20"/>
  <c r="T10" i="14"/>
  <c r="T11" i="14"/>
  <c r="T13" i="14"/>
  <c r="T14" i="14"/>
  <c r="P50" i="14"/>
  <c r="X50" i="14" s="1"/>
  <c r="V58" i="14"/>
  <c r="W58" i="14" s="1"/>
  <c r="X58" i="14" s="1"/>
  <c r="O71" i="14"/>
  <c r="P71" i="14" s="1"/>
  <c r="F31" i="17"/>
  <c r="X74" i="14"/>
  <c r="Q30" i="20"/>
  <c r="O59" i="20"/>
  <c r="W111" i="20"/>
  <c r="AA91" i="20" s="1"/>
  <c r="W214" i="20"/>
  <c r="K76" i="14"/>
  <c r="K80" i="14" s="1"/>
  <c r="K82" i="14" s="1"/>
  <c r="W63" i="14"/>
  <c r="X63" i="14" s="1"/>
  <c r="J17" i="18"/>
  <c r="AA14" i="19"/>
  <c r="AG14" i="19" s="1"/>
  <c r="AK14" i="19" s="1"/>
  <c r="AM14" i="19" s="1"/>
  <c r="C29" i="19" s="1"/>
  <c r="E163" i="1" s="1"/>
  <c r="M9" i="19"/>
  <c r="S9" i="19" s="1"/>
  <c r="U9" i="19" s="1"/>
  <c r="I177" i="20"/>
  <c r="W153" i="20" s="1"/>
  <c r="W154" i="20" s="1"/>
  <c r="O183" i="20" s="1"/>
  <c r="K149" i="20"/>
  <c r="K177" i="20" s="1"/>
  <c r="G181" i="20" s="1"/>
  <c r="O177" i="20"/>
  <c r="G21" i="21"/>
  <c r="E148" i="1" s="1"/>
  <c r="K111" i="20"/>
  <c r="U116" i="20"/>
  <c r="Y116" i="20" s="1"/>
  <c r="E229" i="20"/>
  <c r="J70" i="17"/>
  <c r="K70" i="17" s="1"/>
  <c r="C85" i="17" s="1"/>
  <c r="H17" i="18"/>
  <c r="AA190" i="20"/>
  <c r="E231" i="20"/>
  <c r="E145" i="1" s="1"/>
  <c r="F25" i="17"/>
  <c r="S105" i="20"/>
  <c r="AA193" i="20"/>
  <c r="AC193" i="20" s="1"/>
  <c r="AA195" i="20"/>
  <c r="AC195" i="20" s="1"/>
  <c r="AA197" i="20"/>
  <c r="AC197" i="20" s="1"/>
  <c r="AG69" i="7" l="1"/>
  <c r="E63" i="1"/>
  <c r="AG56" i="7"/>
  <c r="AG58" i="7"/>
  <c r="AG60" i="7"/>
  <c r="C46" i="18"/>
  <c r="C245" i="3"/>
  <c r="C126" i="3"/>
  <c r="AG66" i="7"/>
  <c r="E78" i="1"/>
  <c r="G58" i="9"/>
  <c r="C39" i="18"/>
  <c r="C36" i="18" s="1"/>
  <c r="G56" i="9"/>
  <c r="E70" i="1"/>
  <c r="L17" i="18"/>
  <c r="D22" i="18" s="1"/>
  <c r="D19" i="18" s="1"/>
  <c r="C35" i="18" s="1"/>
  <c r="C53" i="18"/>
  <c r="H105" i="10"/>
  <c r="E62" i="1"/>
  <c r="F10" i="17"/>
  <c r="C82" i="17" s="1"/>
  <c r="K25" i="20"/>
  <c r="H103" i="10"/>
  <c r="G60" i="9"/>
  <c r="H111" i="10"/>
  <c r="H118" i="10"/>
  <c r="E55" i="1"/>
  <c r="E55" i="9"/>
  <c r="G55" i="9" s="1"/>
  <c r="G45" i="9"/>
  <c r="H120" i="10"/>
  <c r="H108" i="10"/>
  <c r="H115" i="10"/>
  <c r="H112" i="10"/>
  <c r="AG55" i="7"/>
  <c r="M6" i="20"/>
  <c r="M25" i="20" s="1"/>
  <c r="C219" i="20" s="1"/>
  <c r="AG65" i="7"/>
  <c r="AG59" i="7"/>
  <c r="E67" i="1"/>
  <c r="E64" i="1" s="1"/>
  <c r="H114" i="10"/>
  <c r="H107" i="10"/>
  <c r="X42" i="14"/>
  <c r="F51" i="17"/>
  <c r="C83" i="17" s="1"/>
  <c r="AG57" i="7"/>
  <c r="F49" i="8"/>
  <c r="G59" i="9"/>
  <c r="E79" i="1"/>
  <c r="H104" i="10"/>
  <c r="H102" i="10"/>
  <c r="E54" i="1"/>
  <c r="AG61" i="7"/>
  <c r="H110" i="10"/>
  <c r="D51" i="8"/>
  <c r="E46" i="1"/>
  <c r="E94" i="1"/>
  <c r="C240" i="20"/>
  <c r="AC90" i="20"/>
  <c r="H117" i="10"/>
  <c r="E47" i="8"/>
  <c r="F47" i="8" s="1"/>
  <c r="E41" i="1"/>
  <c r="G37" i="8"/>
  <c r="E139" i="5"/>
  <c r="D48" i="8"/>
  <c r="F48" i="8" s="1"/>
  <c r="E42" i="1"/>
  <c r="G24" i="8"/>
  <c r="H106" i="10"/>
  <c r="H119" i="10"/>
  <c r="H109" i="10"/>
  <c r="H113" i="10"/>
  <c r="H116" i="10"/>
  <c r="C115" i="5"/>
  <c r="F103" i="5"/>
  <c r="G103" i="5" s="1"/>
  <c r="C74" i="6"/>
  <c r="K70" i="6"/>
  <c r="D267" i="4"/>
  <c r="E261" i="4"/>
  <c r="AC190" i="20"/>
  <c r="AC199" i="20" s="1"/>
  <c r="AA199" i="20"/>
  <c r="I181" i="20"/>
  <c r="K181" i="20" s="1"/>
  <c r="C246" i="20"/>
  <c r="K83" i="14"/>
  <c r="K85" i="14" s="1"/>
  <c r="T76" i="14"/>
  <c r="V87" i="14" s="1"/>
  <c r="V89" i="14" s="1"/>
  <c r="X10" i="14"/>
  <c r="E71" i="1"/>
  <c r="E294" i="4"/>
  <c r="G294" i="4" s="1"/>
  <c r="E308" i="4" s="1"/>
  <c r="G308" i="4" s="1"/>
  <c r="C308" i="4"/>
  <c r="E171" i="1"/>
  <c r="G281" i="4"/>
  <c r="Q33" i="14"/>
  <c r="O33" i="14"/>
  <c r="P33" i="14" s="1"/>
  <c r="V28" i="14"/>
  <c r="W28" i="14" s="1"/>
  <c r="C261" i="4"/>
  <c r="C280" i="4"/>
  <c r="E106" i="1"/>
  <c r="U17" i="14"/>
  <c r="V17" i="14" s="1"/>
  <c r="W17" i="14" s="1"/>
  <c r="X17" i="14" s="1"/>
  <c r="T17" i="14"/>
  <c r="E114" i="1"/>
  <c r="C241" i="20"/>
  <c r="AC91" i="20"/>
  <c r="Q85" i="20"/>
  <c r="S85" i="20" s="1"/>
  <c r="U85" i="20" s="1"/>
  <c r="E138" i="1" s="1"/>
  <c r="S64" i="20"/>
  <c r="U64" i="20" s="1"/>
  <c r="Q28" i="14"/>
  <c r="O28" i="14"/>
  <c r="P28" i="14" s="1"/>
  <c r="U51" i="14"/>
  <c r="V51" i="14" s="1"/>
  <c r="W51" i="14" s="1"/>
  <c r="X51" i="14" s="1"/>
  <c r="T51" i="14"/>
  <c r="Q23" i="14"/>
  <c r="Q76" i="14" s="1"/>
  <c r="O23" i="14"/>
  <c r="P23" i="14" s="1"/>
  <c r="E50" i="8"/>
  <c r="E37" i="1"/>
  <c r="F54" i="9"/>
  <c r="G54" i="9" s="1"/>
  <c r="E34" i="1"/>
  <c r="G30" i="9"/>
  <c r="F105" i="5"/>
  <c r="G105" i="5" s="1"/>
  <c r="H105" i="5" s="1"/>
  <c r="I105" i="5" s="1"/>
  <c r="C117" i="5"/>
  <c r="C128" i="5"/>
  <c r="E116" i="5"/>
  <c r="G116" i="5" s="1"/>
  <c r="F141" i="5" s="1"/>
  <c r="E143" i="1"/>
  <c r="C249" i="20"/>
  <c r="Q183" i="20"/>
  <c r="S183" i="20" s="1"/>
  <c r="AC204" i="20"/>
  <c r="AC214" i="20" s="1"/>
  <c r="AA214" i="20"/>
  <c r="C307" i="4"/>
  <c r="E293" i="4"/>
  <c r="G293" i="4" s="1"/>
  <c r="S30" i="20"/>
  <c r="Q59" i="20"/>
  <c r="U22" i="14"/>
  <c r="V22" i="14" s="1"/>
  <c r="W22" i="14" s="1"/>
  <c r="X22" i="14" s="1"/>
  <c r="T22" i="14"/>
  <c r="T23" i="14"/>
  <c r="U23" i="14"/>
  <c r="V23" i="14" s="1"/>
  <c r="W23" i="14" s="1"/>
  <c r="D50" i="2"/>
  <c r="D141" i="5"/>
  <c r="J104" i="5"/>
  <c r="G182" i="20"/>
  <c r="G183" i="20"/>
  <c r="I183" i="20" s="1"/>
  <c r="K183" i="20" s="1"/>
  <c r="H61" i="10"/>
  <c r="G100" i="10"/>
  <c r="S36" i="19"/>
  <c r="C35" i="19"/>
  <c r="E162" i="1"/>
  <c r="H122" i="10"/>
  <c r="C217" i="3"/>
  <c r="F46" i="8"/>
  <c r="D50" i="8"/>
  <c r="E38" i="1"/>
  <c r="H92" i="10"/>
  <c r="F100" i="10"/>
  <c r="F34" i="17"/>
  <c r="C84" i="17" s="1"/>
  <c r="E147" i="1"/>
  <c r="E125" i="20"/>
  <c r="E127" i="20" s="1"/>
  <c r="V33" i="14"/>
  <c r="W33" i="14" s="1"/>
  <c r="F101" i="10"/>
  <c r="H101" i="10" s="1"/>
  <c r="E33" i="1"/>
  <c r="E51" i="8"/>
  <c r="E45" i="1"/>
  <c r="G263" i="4"/>
  <c r="E99" i="1"/>
  <c r="D40" i="2"/>
  <c r="C221" i="3"/>
  <c r="C250" i="3" s="1"/>
  <c r="E181" i="1" s="1"/>
  <c r="E122" i="1"/>
  <c r="C265" i="4"/>
  <c r="C283" i="4"/>
  <c r="D310" i="4"/>
  <c r="E189" i="1"/>
  <c r="E76" i="1" l="1"/>
  <c r="E52" i="1"/>
  <c r="E60" i="1"/>
  <c r="E176" i="1"/>
  <c r="E175" i="1" s="1"/>
  <c r="C244" i="3"/>
  <c r="G62" i="9"/>
  <c r="C81" i="17"/>
  <c r="E91" i="1"/>
  <c r="E89" i="1" s="1"/>
  <c r="C45" i="18"/>
  <c r="C52" i="18" s="1"/>
  <c r="X28" i="14"/>
  <c r="X23" i="14"/>
  <c r="F50" i="8"/>
  <c r="E133" i="1"/>
  <c r="E131" i="1" s="1"/>
  <c r="D57" i="2"/>
  <c r="H100" i="10"/>
  <c r="H123" i="10" s="1"/>
  <c r="K87" i="14"/>
  <c r="E126" i="20"/>
  <c r="K117" i="20" s="1"/>
  <c r="I182" i="20"/>
  <c r="K182" i="20" s="1"/>
  <c r="G184" i="20"/>
  <c r="C129" i="5"/>
  <c r="E117" i="5"/>
  <c r="G117" i="5" s="1"/>
  <c r="F142" i="5" s="1"/>
  <c r="C127" i="5"/>
  <c r="E115" i="5"/>
  <c r="G115" i="5" s="1"/>
  <c r="E23" i="1" s="1"/>
  <c r="C141" i="5"/>
  <c r="E128" i="5"/>
  <c r="G128" i="5" s="1"/>
  <c r="E141" i="5" s="1"/>
  <c r="G141" i="5" s="1"/>
  <c r="H103" i="5"/>
  <c r="G106" i="5"/>
  <c r="E160" i="1"/>
  <c r="C292" i="4"/>
  <c r="E280" i="4"/>
  <c r="G280" i="4" s="1"/>
  <c r="G139" i="5"/>
  <c r="F307" i="4"/>
  <c r="E43" i="1"/>
  <c r="E31" i="1"/>
  <c r="E219" i="20"/>
  <c r="O76" i="14"/>
  <c r="E35" i="1"/>
  <c r="E68" i="1"/>
  <c r="V93" i="14"/>
  <c r="V95" i="14" s="1"/>
  <c r="V91" i="14"/>
  <c r="J105" i="5"/>
  <c r="D142" i="5"/>
  <c r="E18" i="1"/>
  <c r="E83" i="1"/>
  <c r="X33" i="14"/>
  <c r="C223" i="20"/>
  <c r="E223" i="20" s="1"/>
  <c r="K74" i="6"/>
  <c r="C76" i="6"/>
  <c r="E39" i="1"/>
  <c r="E267" i="4"/>
  <c r="F267" i="4" s="1"/>
  <c r="F261" i="4"/>
  <c r="C295" i="4"/>
  <c r="E283" i="4"/>
  <c r="G283" i="4" s="1"/>
  <c r="O80" i="14"/>
  <c r="O82" i="14" s="1"/>
  <c r="O85" i="14" s="1"/>
  <c r="O87" i="14" s="1"/>
  <c r="S59" i="20"/>
  <c r="U30" i="20"/>
  <c r="E98" i="1"/>
  <c r="C249" i="3"/>
  <c r="C225" i="3"/>
  <c r="E307" i="4"/>
  <c r="P76" i="14"/>
  <c r="V99" i="14" s="1"/>
  <c r="V101" i="14" s="1"/>
  <c r="E157" i="1" s="1"/>
  <c r="F51" i="8"/>
  <c r="F52" i="8" l="1"/>
  <c r="C59" i="18"/>
  <c r="G307" i="4"/>
  <c r="E30" i="1"/>
  <c r="E188" i="1" s="1"/>
  <c r="B65" i="6"/>
  <c r="K76" i="6"/>
  <c r="F140" i="5"/>
  <c r="F143" i="5" s="1"/>
  <c r="G118" i="5"/>
  <c r="C142" i="5"/>
  <c r="E129" i="5"/>
  <c r="G129" i="5" s="1"/>
  <c r="E142" i="5" s="1"/>
  <c r="G142" i="5" s="1"/>
  <c r="F309" i="4"/>
  <c r="E19" i="1"/>
  <c r="C309" i="4"/>
  <c r="E295" i="4"/>
  <c r="G295" i="4" s="1"/>
  <c r="G261" i="4"/>
  <c r="G267" i="4" s="1"/>
  <c r="E14" i="1"/>
  <c r="C140" i="5"/>
  <c r="E127" i="5"/>
  <c r="G127" i="5" s="1"/>
  <c r="C243" i="20"/>
  <c r="I184" i="20"/>
  <c r="K184" i="20" s="1"/>
  <c r="U59" i="20"/>
  <c r="W30" i="20"/>
  <c r="W59" i="20" s="1"/>
  <c r="E81" i="1"/>
  <c r="G284" i="4"/>
  <c r="F306" i="4"/>
  <c r="E15" i="1"/>
  <c r="E93" i="1"/>
  <c r="E192" i="1" s="1"/>
  <c r="C306" i="4"/>
  <c r="E292" i="4"/>
  <c r="G292" i="4" s="1"/>
  <c r="W149" i="20"/>
  <c r="W151" i="20" s="1"/>
  <c r="O116" i="20"/>
  <c r="E47" i="1"/>
  <c r="E190" i="1"/>
  <c r="I103" i="5"/>
  <c r="H106" i="5"/>
  <c r="C248" i="3"/>
  <c r="C231" i="3" s="1"/>
  <c r="E180" i="1"/>
  <c r="V97" i="14"/>
  <c r="F310" i="4" l="1"/>
  <c r="S116" i="20"/>
  <c r="W116" i="20" s="1"/>
  <c r="C239" i="20"/>
  <c r="C238" i="20" s="1"/>
  <c r="O182" i="20"/>
  <c r="W156" i="20"/>
  <c r="O181" i="20" s="1"/>
  <c r="R84" i="6"/>
  <c r="E29" i="1"/>
  <c r="V104" i="14"/>
  <c r="E158" i="1"/>
  <c r="J103" i="5"/>
  <c r="D140" i="5"/>
  <c r="I106" i="5"/>
  <c r="E22" i="1"/>
  <c r="G296" i="4"/>
  <c r="E16" i="1"/>
  <c r="E306" i="4"/>
  <c r="E80" i="1"/>
  <c r="E191" i="1" s="1"/>
  <c r="E140" i="5"/>
  <c r="E143" i="5" s="1"/>
  <c r="G130" i="5"/>
  <c r="E24" i="1"/>
  <c r="E179" i="1"/>
  <c r="E170" i="1" s="1"/>
  <c r="C220" i="20"/>
  <c r="E137" i="1"/>
  <c r="E309" i="4"/>
  <c r="G309" i="4" s="1"/>
  <c r="E20" i="1"/>
  <c r="E13" i="1" l="1"/>
  <c r="E310" i="4"/>
  <c r="G310" i="4" s="1"/>
  <c r="G306" i="4"/>
  <c r="E21" i="1"/>
  <c r="E17" i="1"/>
  <c r="Q181" i="20"/>
  <c r="S181" i="20" s="1"/>
  <c r="C247" i="20"/>
  <c r="C244" i="20" s="1"/>
  <c r="C250" i="20" s="1"/>
  <c r="C221" i="20" s="1"/>
  <c r="E221" i="20" s="1"/>
  <c r="E142" i="1" s="1"/>
  <c r="D143" i="5"/>
  <c r="G143" i="5" s="1"/>
  <c r="G140" i="5"/>
  <c r="Q182" i="20"/>
  <c r="S182" i="20" s="1"/>
  <c r="C248" i="20"/>
  <c r="E220" i="20"/>
  <c r="E135" i="1"/>
  <c r="E156" i="1"/>
  <c r="E12" i="1" l="1"/>
  <c r="E11" i="1" s="1"/>
  <c r="E10" i="1" s="1"/>
  <c r="C224" i="20"/>
  <c r="E224" i="20" s="1"/>
  <c r="E151" i="1"/>
  <c r="E139" i="1"/>
  <c r="E187" i="1" l="1"/>
  <c r="E194" i="1"/>
  <c r="E130" i="1"/>
  <c r="E193" i="1" s="1"/>
  <c r="E195" i="1" l="1"/>
  <c r="E168" i="1"/>
  <c r="E1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8" authorId="0" shapeId="0" xr:uid="{00000000-0006-0000-0000-000001000000}">
      <text>
        <r>
          <rPr>
            <sz val="8"/>
            <color rgb="FF000000"/>
            <rFont val="Calibri"/>
            <scheme val="minor"/>
          </rPr>
          <t>HFC and PFC emissions are reported in aggregate as a combination of many gases each having unique lifetimes and global warming potentials. Therefore a single GWP is not reported here. HFC and PFC emissions are reported under the subsector of ODS Substitutes using GWPs from IPCC AR4.</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s>
  <commentList>
    <comment ref="G13" authorId="0" shapeId="0" xr:uid="{00000000-0006-0000-0A00-000001000000}">
      <text>
        <r>
          <rPr>
            <sz val="8"/>
            <color rgb="FF000000"/>
            <rFont val="Calibri"/>
            <scheme val="minor"/>
          </rPr>
          <t>======
ID#AAAAIbcqf2U
Amohammed    (2021-05-06 16:14:06)
Compared to 2,663,000 metric tons report by USGS Minerals Yearbook 2006</t>
        </r>
      </text>
    </comment>
    <comment ref="D15" authorId="0" shapeId="0" xr:uid="{00000000-0006-0000-0A00-000002000000}">
      <text>
        <r>
          <rPr>
            <sz val="8"/>
            <color rgb="FF000000"/>
            <rFont val="Calibri"/>
            <scheme val="minor"/>
          </rPr>
          <t>======
ID#AAAAIbcqfzM
Amohammed    (2021-05-06 16:14:06)
Default WBCSD</t>
        </r>
      </text>
    </comment>
    <comment ref="E15" authorId="0" shapeId="0" xr:uid="{00000000-0006-0000-0A00-000003000000}">
      <text>
        <r>
          <rPr>
            <sz val="8"/>
            <color rgb="FF000000"/>
            <rFont val="Calibri"/>
            <scheme val="minor"/>
          </rPr>
          <t>======
ID#AAAAIbcqf14
Amohammed    (2021-05-06 16:14:06)
2008 Emission Certification Report</t>
        </r>
      </text>
    </comment>
    <comment ref="F37" authorId="0" shapeId="0" xr:uid="{00000000-0006-0000-0A00-000004000000}">
      <text>
        <r>
          <rPr>
            <sz val="8"/>
            <color rgb="FF000000"/>
            <rFont val="Calibri"/>
            <scheme val="minor"/>
          </rPr>
          <t>======
ID#AAAAIbcqf3M
Amohammed    (2021-05-06 16:14:06)
2006 Emission Certification report</t>
        </r>
      </text>
    </comment>
    <comment ref="J63" authorId="0" shapeId="0" xr:uid="{00000000-0006-0000-0A00-000005000000}">
      <text>
        <r>
          <rPr>
            <sz val="8"/>
            <color rgb="FF000000"/>
            <rFont val="Calibri"/>
            <scheme val="minor"/>
          </rPr>
          <t>======
ID#AAAAIbcqfzk
Beth Moore    (2021-05-06 16:14:06)
Metric Tons CO2 are converted into Metric Tons Carbon Equivalent by multiplying by the molecular weight ratio of carbon to carbon dioxide, or (12/44).</t>
        </r>
      </text>
    </comment>
    <comment ref="L63" authorId="0" shapeId="0" xr:uid="{00000000-0006-0000-0A00-000006000000}">
      <text>
        <r>
          <rPr>
            <sz val="8"/>
            <color rgb="FF000000"/>
            <rFont val="Calibri"/>
            <scheme val="minor"/>
          </rPr>
          <t>======
ID#AAAAIbcqfws
Beth Moore    (2021-05-06 16:14:06)
Metric Tons CO2 are converted into Metric Tons Carbon Equivalent by multiplying by the molecular weight ratio of carbon to carbon dioxide, or (12/44).</t>
        </r>
      </text>
    </comment>
    <comment ref="M63" authorId="0" shapeId="0" xr:uid="{00000000-0006-0000-0A00-000007000000}">
      <text>
        <r>
          <rPr>
            <sz val="8"/>
            <color rgb="FF000000"/>
            <rFont val="Calibri"/>
            <scheme val="minor"/>
          </rPr>
          <t>======
ID#AAAAIbcqfz4
Beth Moore    (2021-05-06 16:14:06)
Metric Tons CO2 are converted into Metric Tons Carbon Equivalent by multiplying by the molecular weight ratio of carbon to carbon dioxide, or (12/44).</t>
        </r>
      </text>
    </comment>
    <comment ref="H66" authorId="0" shapeId="0" xr:uid="{00000000-0006-0000-0A00-000008000000}">
      <text>
        <r>
          <rPr>
            <sz val="8"/>
            <color rgb="FF000000"/>
            <rFont val="Calibri"/>
            <scheme val="minor"/>
          </rPr>
          <t>======
ID#AAAAIbcqf4A
Amohammed    (2021-05-06 16:14:06)
Cement Kiln Dust CO2 assumed to be 20% Clinker Production CO2 Emissions</t>
        </r>
      </text>
    </comment>
    <comment ref="D82" authorId="0" shapeId="0" xr:uid="{00000000-0006-0000-0A00-000009000000}">
      <text>
        <r>
          <rPr>
            <sz val="8"/>
            <color rgb="FF000000"/>
            <rFont val="Calibri"/>
            <scheme val="minor"/>
          </rPr>
          <t>======
ID#AAAAIbcqfx0
Amohammed    (2021-05-06 16:14:06)
Compared to 2,663,000 metric tons report by USGS Minerals Yearbook 2006</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100-000001000000}">
      <text>
        <r>
          <rPr>
            <sz val="8"/>
            <color rgb="FF000000"/>
            <rFont val="Calibri"/>
            <scheme val="minor"/>
          </rPr>
          <t>======
ID#AAAAIbcqfyk
Beth Moore    (2021-05-06 16:14:06)
Metric Tons CO2 are converted into Metric Tons Carbon Equivalent by multiplying by the molecular weight ratio of carbon to carbon dioxide, or (12/44).</t>
        </r>
      </text>
    </comment>
    <comment ref="C6" authorId="0" shapeId="0" xr:uid="{00000000-0006-0000-0100-000002000000}">
      <text>
        <r>
          <rPr>
            <sz val="8"/>
            <color rgb="FF000000"/>
            <rFont val="Calibri"/>
            <scheme val="minor"/>
          </rPr>
          <t>======
ID#AAAAIbcqfzU
Beth Moore    (2021-05-06 16:14:06)
Do not include dolomite used in magnesium production.</t>
        </r>
      </text>
    </comment>
    <comment ref="H10" authorId="0" shapeId="0" xr:uid="{00000000-0006-0000-0100-000003000000}">
      <text>
        <r>
          <rPr>
            <sz val="8"/>
            <color rgb="FF000000"/>
            <rFont val="Calibri"/>
            <scheme val="minor"/>
          </rPr>
          <t>======
ID#AAAAIbcqf5g
Beth Moore    (2021-05-06 16:14:06)
Metric Tons CO2 are converted into Metric Tons Carbon Equivalent by multiplying by the molecular weight ratio of carbon to carbon dioxide, or (12/44).</t>
        </r>
      </text>
    </comment>
    <comment ref="AH18" authorId="0" shapeId="0" xr:uid="{00000000-0006-0000-0100-000004000000}">
      <text>
        <r>
          <rPr>
            <sz val="8"/>
            <color rgb="FF000000"/>
            <rFont val="Calibri"/>
            <scheme val="minor"/>
          </rPr>
          <t>Estimated from 100-yr emissions using 2019 ratio of 20-yr/100-yr</t>
        </r>
      </text>
    </comment>
    <comment ref="H26" authorId="0" shapeId="0" xr:uid="{00000000-0006-0000-0100-000005000000}">
      <text>
        <r>
          <rPr>
            <sz val="8"/>
            <color rgb="FF000000"/>
            <rFont val="Calibri"/>
            <scheme val="minor"/>
          </rPr>
          <t>======
ID#AAAAIbcqfzI
rthunell    (2021-05-06 16:14:06)
GWP SF6 = 23,900</t>
        </r>
      </text>
    </comment>
    <comment ref="J26" authorId="0" shapeId="0" xr:uid="{00000000-0006-0000-0100-000006000000}">
      <text>
        <r>
          <rPr>
            <sz val="8"/>
            <color rgb="FF000000"/>
            <rFont val="Calibri"/>
            <scheme val="minor"/>
          </rPr>
          <t>======
ID#AAAAIbcqfxo
Beth Moore    (2021-05-06 16:14:06)
Metric Tons CO2 are converted into Metric Tons Carbon Equivalent by multiplying by the GWP of SF6 (23,900) and the molecular weight ratio of carbon to carbon dioxide (12/44).</t>
        </r>
      </text>
    </comment>
    <comment ref="L26" authorId="0" shapeId="0" xr:uid="{00000000-0006-0000-0100-000007000000}">
      <text>
        <r>
          <rPr>
            <sz val="8"/>
            <color rgb="FF000000"/>
            <rFont val="Calibri"/>
            <scheme val="minor"/>
          </rPr>
          <t>======
ID#AAAAIbcqf5k
Beth Moore    (2021-05-06 16:14:06)
Metric Tons CO2 are converted into Metric Tons Carbon Equivalent by multiplying by the GWP of SF6 (23,900) and the molecular weight ratio of carbon to carbon dioxide (12/44).</t>
        </r>
      </text>
    </comment>
    <comment ref="J31" authorId="0" shapeId="0" xr:uid="{00000000-0006-0000-0100-000008000000}">
      <text>
        <r>
          <rPr>
            <sz val="8"/>
            <color rgb="FF000000"/>
            <rFont val="Calibri"/>
            <scheme val="minor"/>
          </rPr>
          <t>======
ID#AAAAIbcqfxc
rthunell    (2021-05-06 16:14:06)
Metric Tons CO2 are converted into Metric Tons Carbon Equivalent by multiplying by the molecular weight ratio of carbon to carbon dioxide, or (12/44).</t>
        </r>
      </text>
    </comment>
    <comment ref="L31" authorId="0" shapeId="0" xr:uid="{00000000-0006-0000-0100-000009000000}">
      <text>
        <r>
          <rPr>
            <sz val="8"/>
            <color rgb="FF000000"/>
            <rFont val="Calibri"/>
            <scheme val="minor"/>
          </rPr>
          <t>======
ID#AAAAIbcqfyM
Beth Moore    (2021-05-06 16:14:06)
Metric Tons CO2 are converted into Metric Tons Carbon Equivalent by multiplying by the molecular weight ratio of carbon to carbon dioxide, or (12/44).</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s>
  <commentList>
    <comment ref="H11" authorId="0" shapeId="0" xr:uid="{00000000-0006-0000-0C00-000001000000}">
      <text>
        <r>
          <rPr>
            <sz val="8"/>
            <color rgb="FF000000"/>
            <rFont val="Calibri"/>
            <scheme val="minor"/>
          </rPr>
          <t>======
ID#AAAAIbcqf4U
Amohammed    (2021-05-06 16:14:06)
Negligible- 2008 ECR</t>
        </r>
      </text>
    </comment>
    <comment ref="H13" authorId="0" shapeId="0" xr:uid="{00000000-0006-0000-0C00-000002000000}">
      <text>
        <r>
          <rPr>
            <sz val="8"/>
            <color rgb="FF000000"/>
            <rFont val="Calibri"/>
            <scheme val="minor"/>
          </rPr>
          <t>======
ID#AAAAIbcqf54
Amohammed    (2021-05-06 16:14:06)
Negligible- 2008 ECR</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s>
  <commentList>
    <comment ref="I4" authorId="0" shapeId="0" xr:uid="{00000000-0006-0000-1300-000001000000}">
      <text>
        <r>
          <rPr>
            <sz val="8"/>
            <color rgb="FF000000"/>
            <rFont val="Calibri"/>
            <scheme val="minor"/>
          </rPr>
          <t>======
ID#AAAAIbcqfyQ
Philip Groth    (2021-05-06 16:14:06)
Kg of methane are converted to metric tons by dividing by 1000. This is then converted to MMTCH4 by dividing by 1,000,000.</t>
        </r>
      </text>
    </comment>
    <comment ref="K4" authorId="0" shapeId="0" xr:uid="{00000000-0006-0000-1300-000002000000}">
      <text>
        <r>
          <rPr>
            <sz val="8"/>
            <color rgb="FF000000"/>
            <rFont val="Calibri"/>
            <scheme val="minor"/>
          </rPr>
          <t>======
ID#AAAAIbcqfyc
Philip Groth    (2021-05-06 16:14:06)
MMTCH4 are converted to MMTCE by multiply by methane's global warming potential (21) and then 12/44 (to convert from CO2 to C).</t>
        </r>
      </text>
    </comment>
    <comment ref="M4" authorId="0" shapeId="0" xr:uid="{00000000-0006-0000-1300-000003000000}">
      <text>
        <r>
          <rPr>
            <sz val="8"/>
            <color rgb="FF000000"/>
            <rFont val="Calibri"/>
            <scheme val="minor"/>
          </rPr>
          <t>======
ID#AAAAIbcqf40
Philip Groth    (2021-05-06 16:14:06)
MMTCE are converted to MMTCO2E by dividing by 12/44 (to convert from C to CO2).</t>
        </r>
      </text>
    </comment>
    <comment ref="M28" authorId="0" shapeId="0" xr:uid="{00000000-0006-0000-1300-000004000000}">
      <text>
        <r>
          <rPr>
            <sz val="8"/>
            <color rgb="FF000000"/>
            <rFont val="Calibri"/>
            <scheme val="minor"/>
          </rPr>
          <t>======
ID#AAAAIbcqf58
DLekas    (2021-05-06 16:14:06)
Sum of MCF for each animal's management system x Percent of Manure Managed in that system</t>
        </r>
      </text>
    </comment>
    <comment ref="B50" authorId="0" shapeId="0" xr:uid="{00000000-0006-0000-1300-000005000000}">
      <text>
        <r>
          <rPr>
            <sz val="8"/>
            <color rgb="FF000000"/>
            <rFont val="Calibri"/>
            <scheme val="minor"/>
          </rPr>
          <t>======
ID#AAAAIbcqfwo
DLekas    (2021-05-06 16:14:06)
Includes:  Pullets laying, Pullets &gt; 3 mo., and Pullets &lt; 3 mo.</t>
        </r>
      </text>
    </comment>
    <comment ref="B52" authorId="0" shapeId="0" xr:uid="{00000000-0006-0000-1300-000006000000}">
      <text>
        <r>
          <rPr>
            <sz val="8"/>
            <color rgb="FF000000"/>
            <rFont val="Calibri"/>
            <scheme val="minor"/>
          </rPr>
          <t>======
ID#AAAAIbcqf0c
DLekas    (2021-05-06 16:14:06)
Includes: Regular Broilers, Other (Lost), and Other (Sold)</t>
        </r>
      </text>
    </comment>
    <comment ref="B55" authorId="0" shapeId="0" xr:uid="{00000000-0006-0000-1300-000007000000}">
      <text>
        <r>
          <rPr>
            <sz val="8"/>
            <color rgb="FF000000"/>
            <rFont val="Calibri"/>
            <scheme val="minor"/>
          </rPr>
          <t>======
ID#AAAAIbcqfx8
Katrin Peterson    (2021-05-06 16:14:06)
Sheep on feed that are in feedlots were assumed to be manged using a dry lot system, all others were assumed to be PRP.</t>
        </r>
      </text>
    </comment>
    <comment ref="S62" authorId="0" shapeId="0" xr:uid="{00000000-0006-0000-1300-000008000000}">
      <text>
        <r>
          <rPr>
            <sz val="8"/>
            <color rgb="FF000000"/>
            <rFont val="Calibri"/>
            <scheme val="minor"/>
          </rPr>
          <t>======
ID#AAAAIbcqfwk
Philip Groth    (2021-05-06 16:14:06)
MTCE are converted to MMTCE by dividing by 1,000,000.</t>
        </r>
      </text>
    </comment>
    <comment ref="B77" authorId="0" shapeId="0" xr:uid="{00000000-0006-0000-1300-000009000000}">
      <text>
        <r>
          <rPr>
            <sz val="8"/>
            <color rgb="FF000000"/>
            <rFont val="Calibri"/>
            <scheme val="minor"/>
          </rPr>
          <t>======
ID#AAAAIbcqfw8
DLekas    (2021-05-06 16:14:06)
Includes: Regular Broilers, Other (Lost), and Other (Sold)</t>
        </r>
      </text>
    </comment>
    <comment ref="E89" authorId="0" shapeId="0" xr:uid="{00000000-0006-0000-1300-00000A000000}">
      <text>
        <r>
          <rPr>
            <sz val="8"/>
            <color rgb="FF000000"/>
            <rFont val="Calibri"/>
            <scheme val="minor"/>
          </rPr>
          <t>======
ID#AAAAIbcqfw0
DLekas    (2021-05-06 16:14:06)
This data can be obtained departments in each state responsible for agricultural research.  USDA: http://www.nass.usda.gov/Data_and_Statistics/index.asp</t>
        </r>
      </text>
    </comment>
    <comment ref="G89" authorId="0" shapeId="0" xr:uid="{00000000-0006-0000-1300-00000B000000}">
      <text>
        <r>
          <rPr>
            <sz val="8"/>
            <color rgb="FF000000"/>
            <rFont val="Calibri"/>
            <scheme val="minor"/>
          </rPr>
          <t>======
ID#AAAAIbcqf3U
J Casola    (2021-05-06 16:14:06)
Corn for Grain, All Wheat, Barley, Sorghum, Oats, Rye, and Soybeans back-calculated from bushel and tonnage values found in "Field Crops, Final Estimates, 1992-1997" SB 947a USDA/NASS. Other crops assumed conversion 0.027215</t>
        </r>
      </text>
    </comment>
    <comment ref="I89" authorId="0" shapeId="0" xr:uid="{00000000-0006-0000-1300-00000C000000}">
      <text>
        <r>
          <rPr>
            <sz val="8"/>
            <color rgb="FF000000"/>
            <rFont val="Calibri"/>
            <scheme val="minor"/>
          </rPr>
          <t>======
ID#AAAAIbcqf3s
DLekas    (2021-05-06 16:14:06)
EIIP 1999 &amp; EPA 2001</t>
        </r>
      </text>
    </comment>
    <comment ref="AC89" authorId="0" shapeId="0" xr:uid="{00000000-0006-0000-1300-00000D000000}">
      <text>
        <r>
          <rPr>
            <sz val="8"/>
            <color rgb="FF000000"/>
            <rFont val="Calibri"/>
            <scheme val="minor"/>
          </rPr>
          <t>======
ID#AAAAIbcqf5U
Philip Groth    (2021-05-06 16:14:06)
Metric tons N2O are converted to MMTCE by multiplying by the N2O global warming potential (310 N2O/CO2). multiplying by 12/44 (to convert from CO2 to C), and then dividing by 1,000,000.</t>
        </r>
      </text>
    </comment>
    <comment ref="AE89" authorId="0" shapeId="0" xr:uid="{00000000-0006-0000-1300-00000E000000}">
      <text>
        <r>
          <rPr>
            <sz val="8"/>
            <color rgb="FF000000"/>
            <rFont val="Calibri"/>
            <scheme val="minor"/>
          </rPr>
          <t>======
ID#AAAAIbcqfzo
Philip Groth    (2021-05-06 16:14:06)
MMTCE are converted to MMTCO2E by dividing by 12/44 (to convert from C to CO2).</t>
        </r>
      </text>
    </comment>
    <comment ref="E115" authorId="0" shapeId="0" xr:uid="{00000000-0006-0000-1300-00000F000000}">
      <text>
        <r>
          <rPr>
            <sz val="8"/>
            <color rgb="FF000000"/>
            <rFont val="Calibri"/>
            <scheme val="minor"/>
          </rPr>
          <t>======
ID#AAAAIbcqf2o
DLekas    (2021-05-06 16:14:06)
According to the US Inventory, 65% of the fertilizer consumption takes place from Jan-June and 35% from July-Dec.</t>
        </r>
      </text>
    </comment>
    <comment ref="S115" authorId="0" shapeId="0" xr:uid="{00000000-0006-0000-1300-000010000000}">
      <text>
        <r>
          <rPr>
            <sz val="8"/>
            <color rgb="FF000000"/>
            <rFont val="Calibri"/>
            <scheme val="minor"/>
          </rPr>
          <t>======
ID#AAAAIbcqf0M
Philip Groth    (2021-05-06 16:14:06)
Metric tons N2O are converted to MMTCE by multiplying by the N2O global warming potential (310 N2O/CO2). multiplying by 12/44 (to convert from CO2 to C), and then dividing by 1,000,000.</t>
        </r>
      </text>
    </comment>
    <comment ref="U115" authorId="0" shapeId="0" xr:uid="{00000000-0006-0000-1300-000011000000}">
      <text>
        <r>
          <rPr>
            <sz val="8"/>
            <color rgb="FF000000"/>
            <rFont val="Calibri"/>
            <scheme val="minor"/>
          </rPr>
          <t>======
ID#AAAAIbcqf1I
Philip Groth    (2021-05-06 16:14:06)
Metric tons N2O are converted to MMTCE by multiplying by the N2O global warming potential (310 N2O/CO2). multiplying by 12/44 (to convert from CO2 to C), and then dividing by 1,000,000.</t>
        </r>
      </text>
    </comment>
    <comment ref="W115" authorId="0" shapeId="0" xr:uid="{00000000-0006-0000-1300-000012000000}">
      <text>
        <r>
          <rPr>
            <sz val="8"/>
            <color rgb="FF000000"/>
            <rFont val="Calibri"/>
            <scheme val="minor"/>
          </rPr>
          <t>======
ID#AAAAIbcqf1M
Philip Groth    (2021-05-06 16:14:06)
MMTCE are converted to MMTCO2E by dividing by 12/44 (to convert from C to CO2).</t>
        </r>
      </text>
    </comment>
    <comment ref="Y115" authorId="0" shapeId="0" xr:uid="{00000000-0006-0000-1300-000013000000}">
      <text>
        <r>
          <rPr>
            <sz val="8"/>
            <color rgb="FF000000"/>
            <rFont val="Calibri"/>
            <scheme val="minor"/>
          </rPr>
          <t>======
ID#AAAAIbcqf1g
Philip Groth    (2021-05-06 16:14:06)
MMTCE are converted to MMTCO2E by dividing by 12/44 (to convert from C to CO2).</t>
        </r>
      </text>
    </comment>
    <comment ref="O116" authorId="0" shapeId="0" xr:uid="{00000000-0006-0000-1300-000014000000}">
      <text>
        <r>
          <rPr>
            <sz val="8"/>
            <color rgb="FF000000"/>
            <rFont val="Calibri"/>
            <scheme val="minor"/>
          </rPr>
          <t>======
ID#AAAAIbcqf0o
rthunell    (2021-05-06 16:14:06)
Emissions = 
(Activity/kg_ MT CF) x EF_Dir x N2O_N2 CF
kg_MT CF = 1000
EF_DIR = 0.01
N2O_N2 CF = 44/28</t>
        </r>
      </text>
    </comment>
    <comment ref="Q116" authorId="0" shapeId="0" xr:uid="{00000000-0006-0000-1300-000015000000}">
      <text>
        <r>
          <rPr>
            <sz val="8"/>
            <color rgb="FF000000"/>
            <rFont val="Calibri"/>
            <scheme val="minor"/>
          </rPr>
          <t>======
ID#AAAAIbcqfzs
rthunell    (2021-05-06 16:14:06)
rthunell:
Emissions = 
(Activity/kg_ MT CF) x EF_VOL x N2O_N2 CF
kg_MT CF = 1000
EF_VOL = 0.01
N2O_N2 CF = 44/28</t>
        </r>
      </text>
    </comment>
    <comment ref="K117" authorId="0" shapeId="0" xr:uid="{00000000-0006-0000-1300-000016000000}">
      <text>
        <r>
          <rPr>
            <sz val="8"/>
            <color rgb="FF000000"/>
            <rFont val="Calibri"/>
            <scheme val="minor"/>
          </rPr>
          <t>======
ID#AAAAIbcqf1o
DLekas    (2021-05-06 16:14:06)
According to the IPCC Good Practice Guidance, the manure portion of organic fertilizers is subtracted from the total of organic fertilizers.</t>
        </r>
      </text>
    </comment>
    <comment ref="M117" authorId="0" shapeId="0" xr:uid="{00000000-0006-0000-1300-000017000000}">
      <text>
        <r>
          <rPr>
            <sz val="8"/>
            <color rgb="FF000000"/>
            <rFont val="Calibri"/>
            <scheme val="minor"/>
          </rPr>
          <t>======
ID#AAAAIbcqf04
DLekas    (2021-05-06 16:14:06)
According to the IPCC Good Practice Guidance, the manure portion of organic fertilizers is subtracted from the total of organic fertilizers.</t>
        </r>
      </text>
    </comment>
    <comment ref="B127" authorId="0" shapeId="0" xr:uid="{00000000-0006-0000-1300-000018000000}">
      <text>
        <r>
          <rPr>
            <sz val="8"/>
            <color rgb="FF000000"/>
            <rFont val="Calibri"/>
            <scheme val="minor"/>
          </rPr>
          <t>======
ID#AAAAIbcqfyE
DLekas    (2021-05-06 16:14:06)
According to the IPCC Good Practice Guidance, the manure portion of organic fertilizers is subtracted from the total of organic fertilizers.</t>
        </r>
      </text>
    </comment>
    <comment ref="B143" authorId="0" shapeId="0" xr:uid="{00000000-0006-0000-1300-000019000000}">
      <text>
        <r>
          <rPr>
            <sz val="8"/>
            <color rgb="FF000000"/>
            <rFont val="Calibri"/>
            <scheme val="minor"/>
          </rPr>
          <t>======
ID#AAAAIbcqf28
DLekas    (2021-05-06 16:14:06)
According to the IPCC Good Practice Guidance, the manure portion of organic fertilizers is subtracted from the total of organic fertilizers.</t>
        </r>
      </text>
    </comment>
    <comment ref="E147" authorId="0" shapeId="0" xr:uid="{00000000-0006-0000-1300-00001A000000}">
      <text>
        <r>
          <rPr>
            <sz val="8"/>
            <color rgb="FF000000"/>
            <rFont val="Calibri"/>
            <scheme val="minor"/>
          </rPr>
          <t>======
ID#AAAAIbcqf18
rthunell    (2021-05-06 16:14:06)
TAM: Typical Animal Mass</t>
        </r>
      </text>
    </comment>
    <comment ref="K147" authorId="0" shapeId="0" xr:uid="{00000000-0006-0000-1300-00001B000000}">
      <text>
        <r>
          <rPr>
            <sz val="8"/>
            <color rgb="FF000000"/>
            <rFont val="Calibri"/>
            <scheme val="minor"/>
          </rPr>
          <t>======
ID#AAAAIbcqfwg
DLekas    (2021-05-06 16:14:06)
Volatilization = 20%; 
NH3-NOx EF (kg N2O/kg N) = 0.01</t>
        </r>
      </text>
    </comment>
    <comment ref="S147" authorId="0" shapeId="0" xr:uid="{00000000-0006-0000-1300-00001C000000}">
      <text>
        <r>
          <rPr>
            <sz val="8"/>
            <color rgb="FF000000"/>
            <rFont val="Calibri"/>
            <scheme val="minor"/>
          </rPr>
          <t>======
ID#AAAAIbcqf4E
rthunell    (2021-05-06 16:14:06)
Volatilization = 20%; 
NonVOL EF (kg N2O/kg N) = 0.0125
Poultry Not Managed = 0.042</t>
        </r>
      </text>
    </comment>
    <comment ref="U147" authorId="0" shapeId="0" xr:uid="{00000000-0006-0000-1300-00001D000000}">
      <text>
        <r>
          <rPr>
            <sz val="8"/>
            <color rgb="FF000000"/>
            <rFont val="Calibri"/>
            <scheme val="minor"/>
          </rPr>
          <t>======
ID#AAAAIbcqf48
rthunell    (2021-05-06 16:14:06)
prtEF = 0.02</t>
        </r>
      </text>
    </comment>
    <comment ref="W147" authorId="0" shapeId="0" xr:uid="{00000000-0006-0000-1300-00001E000000}">
      <text>
        <r>
          <rPr>
            <sz val="8"/>
            <color rgb="FF000000"/>
            <rFont val="Calibri"/>
            <scheme val="minor"/>
          </rPr>
          <t>======
ID#AAAAIbcqf3Y
rthunell    (2021-05-06 16:14:06)
Leach EF = 0.30
Runoff/Leach EF = 0.0075</t>
        </r>
      </text>
    </comment>
    <comment ref="BN147" authorId="0" shapeId="0" xr:uid="{00000000-0006-0000-1300-00001F000000}">
      <text>
        <r>
          <rPr>
            <sz val="8"/>
            <color rgb="FF000000"/>
            <rFont val="Calibri"/>
            <scheme val="minor"/>
          </rPr>
          <t>======
ID#AAAAIbcqfyg
DLekas    (2021-05-06 16:14:06)
Source: EIIP Table 7.4.6</t>
        </r>
      </text>
    </comment>
    <comment ref="BQ147" authorId="0" shapeId="0" xr:uid="{00000000-0006-0000-1300-000020000000}">
      <text>
        <r>
          <rPr>
            <sz val="8"/>
            <color rgb="FF000000"/>
            <rFont val="Calibri"/>
            <scheme val="minor"/>
          </rPr>
          <t>======
ID#AAAAIbcqfxU
DLekas    (2021-05-06 16:14:06)
Source: EIIP Table 7.4.7</t>
        </r>
      </text>
    </comment>
    <comment ref="BU147" authorId="0" shapeId="0" xr:uid="{00000000-0006-0000-1300-000021000000}">
      <text>
        <r>
          <rPr>
            <sz val="8"/>
            <color rgb="FF000000"/>
            <rFont val="Calibri"/>
            <scheme val="minor"/>
          </rPr>
          <t>======
ID#AAAAIbcqfyA
DLekas    (2021-05-06 16:14:06)
US Inventory
0% was assumed for both on feed and not on feed sheep for states without sheep data</t>
        </r>
      </text>
    </comment>
    <comment ref="BY147" authorId="0" shapeId="0" xr:uid="{00000000-0006-0000-1300-000022000000}">
      <text>
        <r>
          <rPr>
            <sz val="8"/>
            <color rgb="FF000000"/>
            <rFont val="Calibri"/>
            <scheme val="minor"/>
          </rPr>
          <t>======
ID#AAAAIbcqf2Q
DLekas    (2021-05-06 16:14:06)
Pgroth: Changed to 100% PRP in 1/03 per discussion w/Joe Mangino.</t>
        </r>
      </text>
    </comment>
    <comment ref="CB147" authorId="0" shapeId="0" xr:uid="{00000000-0006-0000-1300-000023000000}">
      <text>
        <r>
          <rPr>
            <sz val="8"/>
            <color rgb="FF000000"/>
            <rFont val="Calibri"/>
            <scheme val="minor"/>
          </rPr>
          <t>======
ID#AAAAIbcqf2s
DLekas    (2021-05-06 16:14:06)
Pgroth: Changed to 100% PRP in 1/03 per discussion w/Joe Mangino.</t>
        </r>
      </text>
    </comment>
    <comment ref="BI148" authorId="0" shapeId="0" xr:uid="{00000000-0006-0000-1300-000024000000}">
      <text>
        <r>
          <rPr>
            <sz val="8"/>
            <color rgb="FF000000"/>
            <rFont val="Calibri"/>
            <scheme val="minor"/>
          </rPr>
          <t>======
ID#AAAAIbcqf1E
Philip Groth    (2021-05-06 16:14:06)
ERG:
Assumed "Other" Systems fall into a category with an emission factor similar to solid storage.</t>
        </r>
      </text>
    </comment>
    <comment ref="B158" authorId="0" shapeId="0" xr:uid="{00000000-0006-0000-1300-000025000000}">
      <text>
        <r>
          <rPr>
            <sz val="8"/>
            <color rgb="FF000000"/>
            <rFont val="Calibri"/>
            <scheme val="minor"/>
          </rPr>
          <t>======
ID#AAAAIbcqfzg
12796    (2021-05-06 16:14:06)
Includes Heifer Stockers and Beef Replacement Heifers.</t>
        </r>
      </text>
    </comment>
    <comment ref="B170" authorId="0" shapeId="0" xr:uid="{00000000-0006-0000-1300-000026000000}">
      <text>
        <r>
          <rPr>
            <sz val="8"/>
            <color rgb="FF000000"/>
            <rFont val="Calibri"/>
            <scheme val="minor"/>
          </rPr>
          <t>======
ID#AAAAIbcqfxg
DLekas    (2021-05-06 16:14:06)
Includes: Regular Broilers, Other (Lost), and Other (Sold)</t>
        </r>
      </text>
    </comment>
    <comment ref="G187" authorId="0" shapeId="0" xr:uid="{00000000-0006-0000-1300-000027000000}">
      <text>
        <r>
          <rPr>
            <sz val="8"/>
            <color rgb="FF000000"/>
            <rFont val="Calibri"/>
            <scheme val="minor"/>
          </rPr>
          <t>======
ID#AAAAIbcqf4k
J Casola    (2021-05-06 16:14:06)
Corn for Grain, All Wheat, Barley, Sorghum, Oats, Rye, and Soybeans back-calculated from bushel and tonnage values found in "Field Crops, Final Estimates, 1992-1997" SB 947a USDA/NASS. Other crops assumed conversion 0.027215</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authors>
  <commentList>
    <comment ref="I16" authorId="0" shapeId="0" xr:uid="{00000000-0006-0000-0E00-000001000000}">
      <text>
        <r>
          <rPr>
            <sz val="8"/>
            <color rgb="FF000000"/>
            <rFont val="Calibri"/>
            <scheme val="minor"/>
          </rPr>
          <t>======
ID#AAAAIbcqfyo
Amohammed    (2021-05-06 16:14:06)
From 2006 Annual Emission Certification Report</t>
        </r>
      </text>
    </comment>
    <comment ref="B26" authorId="0" shapeId="0" xr:uid="{00000000-0006-0000-0E00-000002000000}">
      <text>
        <r>
          <rPr>
            <sz val="8"/>
            <color rgb="FF000000"/>
            <rFont val="Calibri"/>
            <scheme val="minor"/>
          </rPr>
          <t>======
ID#AAAAIbcqfyw
Amohammed    (2021-05-06 16:14:06)
Table C-1 To Subpart C of Part 98 MGGGRR)</t>
        </r>
      </text>
    </comment>
    <comment ref="B28" authorId="0" shapeId="0" xr:uid="{00000000-0006-0000-0E00-000003000000}">
      <text>
        <r>
          <rPr>
            <sz val="8"/>
            <color rgb="FF000000"/>
            <rFont val="Calibri"/>
            <scheme val="minor"/>
          </rPr>
          <t>======
ID#AAAAIbcqf1Y
Amohammed    (2021-05-06 16:14:06)
Table C-1 To Subpart C of Part 98 MGGGRR)</t>
        </r>
      </text>
    </comment>
    <comment ref="B39" authorId="0" shapeId="0" xr:uid="{00000000-0006-0000-0E00-000004000000}">
      <text>
        <r>
          <rPr>
            <sz val="8"/>
            <color rgb="FF000000"/>
            <rFont val="Calibri"/>
            <scheme val="minor"/>
          </rPr>
          <t>======
ID#AAAAIbcqfzQ
Amohammed    (2021-05-06 16:14:06)
Table C-1 To Subpart C of Part 98 MGGGRR)</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
  </authors>
  <commentList>
    <comment ref="D194" authorId="0" shapeId="0" xr:uid="{00000000-0006-0000-0200-000001000000}">
      <text>
        <r>
          <rPr>
            <sz val="8"/>
            <color rgb="FF000000"/>
            <rFont val="Calibri"/>
            <scheme val="minor"/>
          </rPr>
          <t>Taken as ratio to methane emission from reservoir surface</t>
        </r>
      </text>
    </comment>
    <comment ref="D207" authorId="0" shapeId="0" xr:uid="{00000000-0006-0000-0200-000002000000}">
      <text>
        <r>
          <rPr>
            <sz val="8"/>
            <color rgb="FF000000"/>
            <rFont val="Calibri"/>
            <scheme val="minor"/>
          </rPr>
          <t>Taken as ratio to methane emission from reservoir surface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F36" authorId="0" shapeId="0" xr:uid="{00000000-0006-0000-0300-000001000000}">
      <text>
        <r>
          <rPr>
            <sz val="8"/>
            <color rgb="FF000000"/>
            <rFont val="Calibri"/>
            <scheme val="minor"/>
          </rPr>
          <t>======
ID#AAAAIbcqf3I
Amohammed    (2021-05-06 16:14:06)
Source: Email correspondence from Lynn,Mickey to Steve Land dated 11/16/2007</t>
        </r>
      </text>
    </comment>
    <comment ref="F203" authorId="0" shapeId="0" xr:uid="{00000000-0006-0000-0300-000002000000}">
      <text>
        <r>
          <rPr>
            <sz val="8"/>
            <color rgb="FF000000"/>
            <rFont val="Calibri"/>
            <scheme val="minor"/>
          </rPr>
          <t>======
ID#AAAAIbcqf24
Amohammed    (2021-05-06 16:14:06)
Source: Tempo
Courtesy Diane-MDE Compliance</t>
        </r>
      </text>
    </comment>
    <comment ref="G278" authorId="0" shapeId="0" xr:uid="{00000000-0006-0000-0300-000003000000}">
      <text>
        <r>
          <rPr>
            <sz val="8"/>
            <color rgb="FF000000"/>
            <rFont val="Calibri"/>
            <scheme val="minor"/>
          </rPr>
          <t>======
ID#AAAAIbcqfwc
Philip Groth    (2021-05-06 16:14:06)
MMTCE is converted to MMTCO2E by multiplying by 44/12.</t>
        </r>
      </text>
    </comment>
    <comment ref="G290" authorId="0" shapeId="0" xr:uid="{00000000-0006-0000-0300-000004000000}">
      <text>
        <r>
          <rPr>
            <sz val="8"/>
            <color rgb="FF000000"/>
            <rFont val="Calibri"/>
            <scheme val="minor"/>
          </rPr>
          <t>======
ID#AAAAIbcqfyU
Philip Groth    (2021-05-06 16:14:06)
MMTCE is converted to MMTCO2E by multiplying by 44/12.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F100" authorId="0" shapeId="0" xr:uid="{00000000-0006-0000-0400-000001000000}">
      <text>
        <r>
          <rPr>
            <sz val="8"/>
            <color rgb="FF000000"/>
            <rFont val="Calibri"/>
            <scheme val="minor"/>
          </rPr>
          <t>======
ID#AAAAIbcqfzY
Beth Moore    (2021-05-06 16:14:06)
Billion Btus are converted to short tons of carbon by multiplying by the emission factor, combustion efficiency, 1,000 million/billion, and 0.0005 lbs/short ton.</t>
        </r>
      </text>
    </comment>
    <comment ref="G100" authorId="0" shapeId="0" xr:uid="{00000000-0006-0000-0400-000002000000}">
      <text>
        <r>
          <rPr>
            <sz val="8"/>
            <color rgb="FF000000"/>
            <rFont val="Calibri"/>
            <scheme val="minor"/>
          </rPr>
          <t>======
ID#AAAAIbcqfxk
Philip Groth    (2021-05-06 16:14:06)
short tons C  is converted to short tons CO2 by  multiplying by 44/12.</t>
        </r>
      </text>
    </comment>
    <comment ref="H100" authorId="0" shapeId="0" xr:uid="{00000000-0006-0000-0400-000003000000}">
      <text>
        <r>
          <rPr>
            <sz val="8"/>
            <color rgb="FF000000"/>
            <rFont val="Calibri"/>
            <scheme val="minor"/>
          </rPr>
          <t>======
ID#AAAAIbcqf1Q
Philip Groth    (2021-05-06 16:14:06)
short tons C  is converted to short tons CO2 by  multiplying by 44/12.</t>
        </r>
      </text>
    </comment>
    <comment ref="I100" authorId="0" shapeId="0" xr:uid="{00000000-0006-0000-0400-000004000000}">
      <text>
        <r>
          <rPr>
            <sz val="8"/>
            <color rgb="FF000000"/>
            <rFont val="Calibri"/>
            <scheme val="minor"/>
          </rPr>
          <t>======
ID#AAAAIbcqf50
Philip Groth    (2021-05-06 16:14:06)
short tons C  is converted to short tons CO2 by  multiplying by 44/12.</t>
        </r>
      </text>
    </comment>
    <comment ref="J100" authorId="0" shapeId="0" xr:uid="{00000000-0006-0000-0400-000005000000}">
      <text>
        <r>
          <rPr>
            <sz val="8"/>
            <color rgb="FF000000"/>
            <rFont val="Calibri"/>
            <scheme val="minor"/>
          </rPr>
          <t>======
ID#AAAAIbcqf2A
Philip Groth    (2021-05-06 16:14:06)
short tons C  is converted to short tons CO2 by  multiplying by 44/12.</t>
        </r>
      </text>
    </comment>
    <comment ref="G112" authorId="0" shapeId="0" xr:uid="{00000000-0006-0000-0400-000006000000}">
      <text>
        <r>
          <rPr>
            <sz val="8"/>
            <color rgb="FF000000"/>
            <rFont val="Calibri"/>
            <scheme val="minor"/>
          </rPr>
          <t>======
ID#AAAAIbcqf08
Philip Groth    (2021-05-06 16:14:06)
MMTCE is converted to MMTCO2E by multiplying by 44/12.</t>
        </r>
      </text>
    </comment>
    <comment ref="G124" authorId="0" shapeId="0" xr:uid="{00000000-0006-0000-0400-000007000000}">
      <text>
        <r>
          <rPr>
            <sz val="8"/>
            <color rgb="FF000000"/>
            <rFont val="Calibri"/>
            <scheme val="minor"/>
          </rPr>
          <t>======
ID#AAAAIbcqf3w
Philip Groth    (2021-05-06 16:14:06)
MMTCE is converted to MMTCO2E by multiplying by 44/12.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00000000-0006-0000-0700-000001000000}">
      <text>
        <r>
          <rPr>
            <sz val="8"/>
            <color rgb="FF000000"/>
            <rFont val="Calibri"/>
            <scheme val="minor"/>
          </rPr>
          <t>======
ID#AAAAIbcqf2M
Beth Moore    (2021-05-06 16:14:06)
Billion Btus are converted to short tons of carbon by multiplying by the emission factor, combustion efficiency, 1,000 million/billion, and 0.0005 lbs/short ton.</t>
        </r>
      </text>
    </comment>
    <comment ref="B23" authorId="0" shapeId="0" xr:uid="{00000000-0006-0000-0700-000002000000}">
      <text>
        <r>
          <rPr>
            <sz val="8"/>
            <color rgb="FF000000"/>
            <rFont val="Calibri"/>
            <scheme val="minor"/>
          </rPr>
          <t>======
ID#AAAAIbcqf5M
LP    (2021-05-06 16:14:06)
The biomass portion of mixed municipal solid waste (MSW) (which may include wood waste arriving at waste to energy (WTE) facilities) should be considered separate from the stationary combustion of wood fuel in the Residential, Commercial, Industrial, and Electric Power sectors in the Stationary combustion module. The assumption is that there are dedicated combustion facilities that burn wood fuels to generate energy that are separate from mixed MSW WTE facilities, which is calculated in the Solid Waste module.</t>
        </r>
      </text>
    </comment>
    <comment ref="G29" authorId="0" shapeId="0" xr:uid="{00000000-0006-0000-0700-000003000000}">
      <text>
        <r>
          <rPr>
            <sz val="8"/>
            <color rgb="FF000000"/>
            <rFont val="Calibri"/>
            <scheme val="minor"/>
          </rPr>
          <t>======
ID#AAAAIbcqf3g
Philip Groth    (2021-05-06 16:14:06)
MMTCE is converted to MMTCO2E by multiplying by 44/12.</t>
        </r>
      </text>
    </comment>
    <comment ref="B36" authorId="0" shapeId="0" xr:uid="{00000000-0006-0000-0700-000004000000}">
      <text>
        <r>
          <rPr>
            <sz val="8"/>
            <color rgb="FF000000"/>
            <rFont val="Calibri"/>
            <scheme val="minor"/>
          </rPr>
          <t>======
ID#AAAAIbcqf0E
LP    (2021-05-06 16:14:06)
The biomass portion of mixed municipal solid waste (MSW) (which may include wood waste arriving at waste to energy (WTE) facilities) should be considered separate from the stationary combustion of wood fuel in the Residential, Commercial, Industrial, and Electric Power sectors in the Stationary combustion module. The assumption is that there are dedicated combustion facilities that burn wood fuels to generate energy that are separate from mixed MSW WTE facilities, which is calculated in the Solid Waste module.</t>
        </r>
      </text>
    </comment>
    <comment ref="B51" authorId="0" shapeId="0" xr:uid="{00000000-0006-0000-0700-000005000000}">
      <text>
        <r>
          <rPr>
            <sz val="8"/>
            <color rgb="FF000000"/>
            <rFont val="Calibri"/>
            <scheme val="minor"/>
          </rPr>
          <t>======
ID#AAAAIbcqf2E
LP    (2021-05-06 16:14:06)
The biomass portion of mixed municipal solid waste (MSW) (which may include wood waste arriving at waste to energy (WTE) facilities) should be considered separate from the stationary combustion of wood fuel in the Residential, Commercial, Industrial, and Electric Power sectors in the Stationary combustion module. The assumption is that there are dedicated combustion facilities that burn wood fuels to generate energy that are separate from mixed MSW WTE facilities, which is calculated in the Solid Waste module.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F6" authorId="0" shapeId="0" xr:uid="{00000000-0006-0000-0800-000001000000}">
      <text>
        <r>
          <rPr>
            <sz val="8"/>
            <color rgb="FF000000"/>
            <rFont val="Calibri"/>
            <scheme val="minor"/>
          </rPr>
          <t>======
ID#AAAAIbcqf0g
Beth Moore    (2021-05-06 16:14:06)
Billion Btus are converted to short tons of carbon by multiplying by the emission factor, combustion efficiency, 1,000 million/billion, and 0.0005 lbs/short ton.</t>
        </r>
      </text>
    </comment>
    <comment ref="G6" authorId="0" shapeId="0" xr:uid="{00000000-0006-0000-0800-000002000000}">
      <text>
        <r>
          <rPr>
            <sz val="8"/>
            <color rgb="FF000000"/>
            <rFont val="Calibri"/>
            <scheme val="minor"/>
          </rPr>
          <t>======
ID#AAAAIbcqfzc
Philip Groth    (2021-05-06 16:14:06)
MMTCE is converted to MMTCO2E by multiplying by 44/12.</t>
        </r>
      </text>
    </comment>
    <comment ref="G20" authorId="0" shapeId="0" xr:uid="{00000000-0006-0000-0800-000003000000}">
      <text>
        <r>
          <rPr>
            <sz val="8"/>
            <color rgb="FF000000"/>
            <rFont val="Calibri"/>
            <scheme val="minor"/>
          </rPr>
          <t>======
ID#AAAAIbcqf2Y
Philip Groth    (2021-05-06 16:14:06)
MMTCE is converted to MMTCO2E by multiplying by 44/12.</t>
        </r>
      </text>
    </comment>
    <comment ref="B29" authorId="0" shapeId="0" xr:uid="{00000000-0006-0000-0800-000004000000}">
      <text>
        <r>
          <rPr>
            <sz val="8"/>
            <color rgb="FF000000"/>
            <rFont val="Calibri"/>
            <scheme val="minor"/>
          </rPr>
          <t>======
ID#AAAAIbcqf4g
LP    (2021-05-06 16:14:06)
The biomass portion of mixed municipal solid waste (MSW) (which may include wood waste arriving at waste to energy (WTE) facilities) should be considered separate from the stationary combustion of wood fuel in the Residential, Commercial, Industrial, and Electric Power sectors in the Stationary combustion module. The assumption is that there are dedicated combustion facilities that burn wood fuels to generate energy that are separate from mixed MSW WTE facilities, which is calculated in the Solid Waste module.</t>
        </r>
      </text>
    </comment>
    <comment ref="G35" authorId="0" shapeId="0" xr:uid="{00000000-0006-0000-0800-000005000000}">
      <text>
        <r>
          <rPr>
            <sz val="8"/>
            <color rgb="FF000000"/>
            <rFont val="Calibri"/>
            <scheme val="minor"/>
          </rPr>
          <t>======
ID#AAAAIbcqfw4
Philip Groth    (2021-05-06 16:14:06)
MMTCE is converted to MMTCO2E by multiplying by 44/12.</t>
        </r>
      </text>
    </comment>
    <comment ref="B44" authorId="0" shapeId="0" xr:uid="{00000000-0006-0000-0800-000006000000}">
      <text>
        <r>
          <rPr>
            <sz val="8"/>
            <color rgb="FF000000"/>
            <rFont val="Calibri"/>
            <scheme val="minor"/>
          </rPr>
          <t>======
ID#AAAAIbcqf5Y
LP    (2021-05-06 16:14:06)
The biomass portion of mixed municipal solid waste (MSW) (which may include wood waste arriving at waste to energy (WTE) facilities) should be considered separate from the stationary combustion of wood fuel in the Residential, Commercial, Industrial, and Electric Power sectors in the Stationary combustion module. The assumption is that there are dedicated combustion facilities that burn wood fuels to generate energy that are separate from mixed MSW WTE facilities, which is calculated in the Solid Waste module.</t>
        </r>
      </text>
    </comment>
    <comment ref="G52" authorId="0" shapeId="0" xr:uid="{00000000-0006-0000-0800-000007000000}">
      <text>
        <r>
          <rPr>
            <sz val="8"/>
            <color rgb="FF000000"/>
            <rFont val="Calibri"/>
            <scheme val="minor"/>
          </rPr>
          <t>======
ID#AAAAIbcqfzE
Philip Groth    (2021-05-06 16:14:06)
MMTCE is converted to MMTCO2E by multiplying by 44/12.</t>
        </r>
      </text>
    </comment>
    <comment ref="B61" authorId="0" shapeId="0" xr:uid="{00000000-0006-0000-0800-000008000000}">
      <text>
        <r>
          <rPr>
            <sz val="8"/>
            <color rgb="FF000000"/>
            <rFont val="Calibri"/>
            <scheme val="minor"/>
          </rPr>
          <t>======
ID#AAAAIbcqf4M
LP    (2021-05-06 16:14:06)
The biomass portion of mixed municipal solid waste (MSW) (which may include wood waste arriving at waste to energy (WTE) facilities) should be considered separate from the stationary combustion of wood fuel in the Residential, Commercial, Industrial, and Electric Power sectors in the Stationary combustion module. The assumption is that there are dedicated combustion facilities that burn wood fuels to generate energy that are separate from mixed MSW WTE facilities, which is calculated in the Solid Waste module.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I6" authorId="0" shapeId="0" xr:uid="{00000000-0006-0000-0900-000001000000}">
      <text>
        <r>
          <rPr>
            <sz val="8"/>
            <color rgb="FF000000"/>
            <rFont val="Calibri"/>
            <scheme val="minor"/>
          </rPr>
          <t>======
ID#AAAAIbcqf20
Beth Moore    (2021-05-06 16:14:06)
Billion Btus are converted to short tons of carbon by multiplying by the emission factor, combustion efficiency, 1,000 million/billion, and 0.0005 lbs/short ton.</t>
        </r>
      </text>
    </comment>
    <comment ref="J6" authorId="0" shapeId="0" xr:uid="{00000000-0006-0000-0900-000002000000}">
      <text>
        <r>
          <rPr>
            <sz val="8"/>
            <color rgb="FF000000"/>
            <rFont val="Calibri"/>
            <scheme val="minor"/>
          </rPr>
          <t>======
ID#AAAAIbcqf2I
Philip Groth    (2021-05-06 16:14:06)
MMTCE is converted to MMTCO2E by multiplying by 44/12.</t>
        </r>
      </text>
    </comment>
    <comment ref="B27" authorId="0" shapeId="0" xr:uid="{00000000-0006-0000-0900-000003000000}">
      <text>
        <r>
          <rPr>
            <sz val="8"/>
            <color rgb="FF000000"/>
            <rFont val="Calibri"/>
            <scheme val="minor"/>
          </rPr>
          <t>======
ID#AAAAIbcqf10
J Casola    (2021-05-06 16:14:06)
SEDR data show negative values for consumption.  Represents storage of energy, since oils are manufactured from other fuels.  "Negative" emissions serve to correct the overestimation of emissions attributed to the parent fuel.</t>
        </r>
      </text>
    </comment>
    <comment ref="H36" authorId="0" shapeId="0" xr:uid="{00000000-0006-0000-0900-000004000000}">
      <text>
        <r>
          <rPr>
            <sz val="8"/>
            <color rgb="FF000000"/>
            <rFont val="Calibri"/>
            <scheme val="minor"/>
          </rPr>
          <t>======
ID#AAAAIbcqfz0
Philip Groth    (2021-05-06 16:14:06)
metric tons N2O  converted to MMTCO2E by multiplying by GWP and diving by 106.</t>
        </r>
      </text>
    </comment>
    <comment ref="B57" authorId="0" shapeId="0" xr:uid="{00000000-0006-0000-0900-000005000000}">
      <text>
        <r>
          <rPr>
            <sz val="8"/>
            <color rgb="FF000000"/>
            <rFont val="Calibri"/>
            <scheme val="minor"/>
          </rPr>
          <t>======
ID#AAAAIbcqfxs
J Casola    (2021-05-06 16:14:06)
SEDR data show negative values for consumption.  Represents storage of energy, since oils are manufactured from other fuels.  "Negative" emissions serve to correct the overestimation of emissions attributed to the parent fuel.</t>
        </r>
      </text>
    </comment>
    <comment ref="B60" authorId="0" shapeId="0" xr:uid="{00000000-0006-0000-0900-000006000000}">
      <text>
        <r>
          <rPr>
            <sz val="8"/>
            <color rgb="FF000000"/>
            <rFont val="Calibri"/>
            <scheme val="minor"/>
          </rPr>
          <t>======
ID#AAAAIbcqf2c
LP    (2021-05-06 16:14:06)
The biomass portion of mixed municipal solid waste (MSW) (which may include wood waste arriving at waste to energy (WTE) facilities) should be considered separate from the stationary combustion of wood fuel in the Residential, Commercial, Industrial, and Electric Power sectors in the Stationary combustion module. The assumption is that there are dedicated combustion facilities that burn wood fuels to generate energy that are separate from mixed MSW WTE facilities, which is calculated in the Solid Waste module.</t>
        </r>
      </text>
    </comment>
    <comment ref="H67" authorId="0" shapeId="0" xr:uid="{00000000-0006-0000-0900-000007000000}">
      <text>
        <r>
          <rPr>
            <sz val="8"/>
            <color rgb="FF000000"/>
            <rFont val="Calibri"/>
            <scheme val="minor"/>
          </rPr>
          <t>======
ID#AAAAIbcqf1s
Philip Groth    (2021-05-06 16:14:06)
metric tons CH4 converted to MMTCO2E by multiplying by GWP. and Dividing by 106</t>
        </r>
      </text>
    </comment>
    <comment ref="B88" authorId="0" shapeId="0" xr:uid="{00000000-0006-0000-0900-000008000000}">
      <text>
        <r>
          <rPr>
            <sz val="8"/>
            <color rgb="FF000000"/>
            <rFont val="Calibri"/>
            <scheme val="minor"/>
          </rPr>
          <t>======
ID#AAAAIbcqf5s
J Casola    (2021-05-06 16:14:06)
SEDR data show negative values for consumption.  Represents storage of energy, since oils are manufactured from other fuels.  "Negative" emissions serve to correct the overestimation of emissions attributed to the parent fuel.</t>
        </r>
      </text>
    </comment>
    <comment ref="B91" authorId="0" shapeId="0" xr:uid="{00000000-0006-0000-0900-000009000000}">
      <text>
        <r>
          <rPr>
            <sz val="8"/>
            <color rgb="FF000000"/>
            <rFont val="Calibri"/>
            <scheme val="minor"/>
          </rPr>
          <t>======
ID#AAAAIbcqf4Q
LP    (2021-05-06 16:14:06)
The biomass portion of mixed municipal solid waste (MSW) (which may include wood waste arriving at waste to energy (WTE) facilities) should be considered separate from the stationary combustion of wood fuel in the Residential, Commercial, Industrial, and Electric Power sectors in the Stationary combustion module. The assumption is that there are dedicated combustion facilities that burn wood fuels to generate energy that are separate from mixed MSW WTE facilities, which is calculated in the Solid Waste module.</t>
        </r>
      </text>
    </comment>
    <comment ref="E98" authorId="0" shapeId="0" xr:uid="{00000000-0006-0000-0900-00000A000000}">
      <text>
        <r>
          <rPr>
            <sz val="8"/>
            <color rgb="FF000000"/>
            <rFont val="Calibri"/>
            <scheme val="minor"/>
          </rPr>
          <t>======
ID#AAAAIbcqf0Q
Philip Groth    (2021-05-06 16:14:06)
metric tons CH4 converted to MMTCO2E by multiplying by GWP. and Dividing by 106</t>
        </r>
      </text>
    </comment>
    <comment ref="F98" authorId="0" shapeId="0" xr:uid="{00000000-0006-0000-0900-00000B000000}">
      <text>
        <r>
          <rPr>
            <sz val="8"/>
            <color rgb="FF000000"/>
            <rFont val="Calibri"/>
            <scheme val="minor"/>
          </rPr>
          <t>======
ID#AAAAIbcqfxw
Philip Groth    (2021-05-06 16:14:06)
metric tons CH4 converted to MMTCO2E by multiplying by GWP. and Dividing by 106</t>
        </r>
      </text>
    </comment>
    <comment ref="G98" authorId="0" shapeId="0" xr:uid="{00000000-0006-0000-0900-00000C000000}">
      <text>
        <r>
          <rPr>
            <sz val="8"/>
            <color rgb="FF000000"/>
            <rFont val="Calibri"/>
            <scheme val="minor"/>
          </rPr>
          <t>======
ID#AAAAIbcqf0s
Philip Groth    (2021-05-06 16:14:06)
metric tons CH4 converted to MMTCO2E by multiplying by GWP. and Dividing by 106</t>
        </r>
      </text>
    </comment>
    <comment ref="H98" authorId="0" shapeId="0" xr:uid="{00000000-0006-0000-0900-00000D000000}">
      <text>
        <r>
          <rPr>
            <sz val="8"/>
            <color rgb="FF000000"/>
            <rFont val="Calibri"/>
            <scheme val="minor"/>
          </rPr>
          <t>======
ID#AAAAIbcqfxY
Philip Groth    (2021-05-06 16:14:06)
metric tons CH4 converted to MMTCO2E by multiplying by GWP. and Dividing by 106</t>
        </r>
      </text>
    </comment>
    <comment ref="B119" authorId="0" shapeId="0" xr:uid="{00000000-0006-0000-0900-00000E000000}">
      <text>
        <r>
          <rPr>
            <sz val="8"/>
            <color rgb="FF000000"/>
            <rFont val="Calibri"/>
            <scheme val="minor"/>
          </rPr>
          <t>======
ID#AAAAIbcqf0w
J Casola    (2021-05-06 16:14:06)
SEDR data show negative values for consumption.  Represents storage of energy, since oils are manufactured from other fuels.  "Negative" emissions serve to correct the overestimation of emissions attributed to the parent fuel.</t>
        </r>
      </text>
    </comment>
    <comment ref="B122" authorId="0" shapeId="0" xr:uid="{00000000-0006-0000-0900-00000F000000}">
      <text>
        <r>
          <rPr>
            <sz val="8"/>
            <color rgb="FF000000"/>
            <rFont val="Calibri"/>
            <scheme val="minor"/>
          </rPr>
          <t>======
ID#AAAAIbcqfxM
LP    (2021-05-06 16:14:06)
The biomass portion of mixed municipal solid waste (MSW) (which may include wood waste arriving at waste to energy (WTE) facilities) should be considered separate from the stationary combustion of wood fuel in the Residential, Commercial, Industrial, and Electric Power sectors in the Stationary combustion module. The assumption is that there are dedicated combustion facilities that burn wood fuels to generate energy that are separate from mixed MSW WTE facilities, which is calculated in the Solid Waste module.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E11" authorId="0" shapeId="0" xr:uid="{00000000-0006-0000-0600-000001000000}">
      <text>
        <r>
          <rPr>
            <sz val="8"/>
            <color rgb="FF000000"/>
            <rFont val="Calibri"/>
            <scheme val="minor"/>
          </rPr>
          <t>======
ID#AAAAIbcqfxE
Amohammed    (2021-05-06 16:14:06)
Total Gasoline from Controller of Maryland Motor Fuel Tax Bureau = 2,721,404,088
EIA SED = 2,713,397,442</t>
        </r>
      </text>
    </comment>
    <comment ref="B22" authorId="0" shapeId="0" xr:uid="{00000000-0006-0000-0600-000002000000}">
      <text>
        <r>
          <rPr>
            <sz val="8"/>
            <color rgb="FF000000"/>
            <rFont val="Calibri"/>
            <scheme val="minor"/>
          </rPr>
          <t>======
ID#AAAAIbcqf5w
rthunell    (2021-05-06 16:14:06)
Source:  FHWA Data MF-24 Table 
National data Allocated from HD State Percent</t>
        </r>
      </text>
    </comment>
    <comment ref="I24" authorId="0" shapeId="0" xr:uid="{00000000-0006-0000-0600-000003000000}">
      <text>
        <r>
          <rPr>
            <sz val="8"/>
            <color rgb="FF000000"/>
            <rFont val="Calibri"/>
            <scheme val="minor"/>
          </rPr>
          <t>======
ID#AAAAIbcqf0A
Amohammed    (2021-05-06 16:14:06)
Total Gasoline from Controller of Maryland Motor Fuel Tax Bureau = 2,721,404,088
EIA SED = 2,713,397,442</t>
        </r>
      </text>
    </comment>
    <comment ref="B33" authorId="0" shapeId="0" xr:uid="{00000000-0006-0000-0600-000004000000}">
      <text>
        <r>
          <rPr>
            <sz val="8"/>
            <color rgb="FF000000"/>
            <rFont val="Calibri"/>
            <scheme val="minor"/>
          </rPr>
          <t>======
ID#AAAAIbcqf3E
rthunell    (2021-05-06 16:14:06)
Source: FHWA, Highway Statistics, table MF-24, http://www.fhwa.dot.gov/policy/ohpi/hss/index.htm
Diesel National Construction Consumption allocated to state level by Gasoline percentage.</t>
        </r>
      </text>
    </comment>
    <comment ref="B34" authorId="0" shapeId="0" xr:uid="{00000000-0006-0000-0600-000005000000}">
      <text>
        <r>
          <rPr>
            <sz val="8"/>
            <color rgb="FF000000"/>
            <rFont val="Calibri"/>
            <scheme val="minor"/>
          </rPr>
          <t>======
ID#AAAAIbcqf4s
rthunell    (2021-05-06 16:14:06)
Source: EIA, Fuel Oil and Kerosene Sales, Table 24.  Sum of Total Military Distillate Fuel and "Other" Off-Highway Distillate Fuel.
National Diesel data allocated to state level by Gasoline HD Utility Percentage from FHWA MF-24 table</t>
        </r>
      </text>
    </comment>
    <comment ref="I35" authorId="0" shapeId="0" xr:uid="{00000000-0006-0000-0600-000006000000}">
      <text>
        <r>
          <rPr>
            <sz val="8"/>
            <color rgb="FF000000"/>
            <rFont val="Calibri"/>
            <scheme val="minor"/>
          </rPr>
          <t>======
ID#AAAAIbcqfzw
Amohammed    (2021-05-06 16:14:06)
Rail Consumption Data from Survey/MD specific Reports</t>
        </r>
      </text>
    </comment>
    <comment ref="B36" authorId="0" shapeId="0" xr:uid="{00000000-0006-0000-0600-000007000000}">
      <text>
        <r>
          <rPr>
            <sz val="8"/>
            <color rgb="FF000000"/>
            <rFont val="Calibri"/>
            <scheme val="minor"/>
          </rPr>
          <t>======
ID#AAAAIbcqf1w
rthunell    (2021-05-06 16:14:06)
Source: EIA. State Energy Data Reports (http://www.eia.doe.gov/emeu/states/_states.html).
Marine Diesel allocated to state level by state marine residual oil percent.</t>
        </r>
      </text>
    </comment>
    <comment ref="I38" authorId="0" shapeId="0" xr:uid="{00000000-0006-0000-0600-000008000000}">
      <text>
        <r>
          <rPr>
            <sz val="8"/>
            <color rgb="FF000000"/>
            <rFont val="Calibri"/>
            <scheme val="minor"/>
          </rPr>
          <t>======
ID#AAAAIbcqf0U
Amohammed    (2021-05-06 16:14:06)
Total Gasoline from Controller of Maryland Motor Fuel Tax Bureau = 2,721,404,088
EIA SED = 2,713,397,442</t>
        </r>
      </text>
    </comment>
    <comment ref="I39" authorId="0" shapeId="0" xr:uid="{00000000-0006-0000-0600-000009000000}">
      <text>
        <r>
          <rPr>
            <sz val="8"/>
            <color rgb="FF000000"/>
            <rFont val="Calibri"/>
            <scheme val="minor"/>
          </rPr>
          <t>======
ID#AAAAIbcqf4c
Amohammed    (2021-05-06 16:14:06)
Total Gasoline from Controller of Maryland Motor Fuel Tax Bureau = 2,721,404,088
EIA SED = 2,713,397,442</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F6" authorId="0" shapeId="0" xr:uid="{00000000-0006-0000-1000-000001000000}">
      <text>
        <r>
          <rPr>
            <sz val="8"/>
            <color rgb="FF000000"/>
            <rFont val="Calibri"/>
            <scheme val="minor"/>
          </rPr>
          <t>======
ID#AAAAIbcqfxA
Beth Moore    (2021-05-06 16:14:06)
MTCH4 are converted to MMTCO2E by multiplying by the GWP of CH4, or 21, and then dividing by 1,000,000</t>
        </r>
      </text>
    </comment>
    <comment ref="F22" authorId="0" shapeId="0" xr:uid="{00000000-0006-0000-1000-000002000000}">
      <text>
        <r>
          <rPr>
            <sz val="8"/>
            <color rgb="FF000000"/>
            <rFont val="Calibri"/>
            <scheme val="minor"/>
          </rPr>
          <t>======
ID#AAAAIbcqfyI
Beth Moore    (2021-05-06 16:14:06)
MTCH4 are converted to MMTCO2E by multiplying by the GWP of CH4, or 21, and then dividing by 1,000,000</t>
        </r>
      </text>
    </comment>
    <comment ref="F45" authorId="0" shapeId="0" xr:uid="{00000000-0006-0000-1000-000003000000}">
      <text>
        <r>
          <rPr>
            <sz val="8"/>
            <color rgb="FF000000"/>
            <rFont val="Calibri"/>
            <scheme val="minor"/>
          </rPr>
          <t>======
ID#AAAAIbcqf3c
Beth Moore    (2021-05-06 16:14:06)
MTCH4 are converted to MMTCO2E by multiplying by the GWP of CH4, or 21, and then dividing by 1,000,000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L4" authorId="0" shapeId="0" xr:uid="{00000000-0006-0000-1100-000001000000}">
      <text>
        <r>
          <rPr>
            <sz val="8"/>
            <color rgb="FF000000"/>
            <rFont val="Calibri"/>
            <scheme val="minor"/>
          </rPr>
          <t>======
ID#AAAAIbcqfwY
Beth Moore    (2021-05-06 16:14:06)
Million cubic feet are converted to MTCH4 by multiplying by 19.2 grams/cubic feet of CH4.</t>
        </r>
      </text>
    </comment>
    <comment ref="N4" authorId="0" shapeId="0" xr:uid="{00000000-0006-0000-1100-000002000000}">
      <text>
        <r>
          <rPr>
            <sz val="8"/>
            <color rgb="FF000000"/>
            <rFont val="Calibri"/>
            <scheme val="minor"/>
          </rPr>
          <t>======
ID#AAAAIbcqf5o
Beth Moore    (2021-05-06 16:14:06)
MTCH4 are converted to MTCO2E by multiplying first by the GWP of CH4, or 21.</t>
        </r>
      </text>
    </comment>
    <comment ref="J8" authorId="0" shapeId="0" xr:uid="{00000000-0006-0000-1100-000003000000}">
      <text>
        <r>
          <rPr>
            <sz val="8"/>
            <color rgb="FF000000"/>
            <rFont val="Calibri"/>
            <scheme val="minor"/>
          </rPr>
          <t>======
ID#AAAAIbcqfy4
Beth Moore    (2021-05-06 16:14:06)
Thousand cubic feet are converted to MTCH4 by dividing by 1,000, then by 19.2 grams/cubic feet of CH4.</t>
        </r>
      </text>
    </comment>
    <comment ref="L8" authorId="0" shapeId="0" xr:uid="{00000000-0006-0000-1100-000004000000}">
      <text>
        <r>
          <rPr>
            <sz val="8"/>
            <color rgb="FF000000"/>
            <rFont val="Calibri"/>
            <scheme val="minor"/>
          </rPr>
          <t>======
ID#AAAAIbcqfxQ
Beth Moore    (2021-05-06 16:14:06)
MTCH4 are converted to MTCO2E by multiplying first by the GWP of CH4, or 21.</t>
        </r>
      </text>
    </comment>
    <comment ref="J12" authorId="0" shapeId="0" xr:uid="{00000000-0006-0000-1100-000005000000}">
      <text>
        <r>
          <rPr>
            <sz val="8"/>
            <color rgb="FF000000"/>
            <rFont val="Calibri"/>
            <scheme val="minor"/>
          </rPr>
          <t>======
ID#AAAAIbcqfx4
Beth Moore    (2021-05-06 16:14:06)
Thousand cubic feet are converted to MTCH4 by dividing by 1,000, then by 19.2 grams/cubic feet of CH4.</t>
        </r>
      </text>
    </comment>
    <comment ref="L12" authorId="0" shapeId="0" xr:uid="{00000000-0006-0000-1100-000006000000}">
      <text>
        <r>
          <rPr>
            <sz val="8"/>
            <color rgb="FF000000"/>
            <rFont val="Calibri"/>
            <scheme val="minor"/>
          </rPr>
          <t>======
ID#AAAAIbcqf00
Beth Moore    (2021-05-06 16:14:06)
MTCH4 are converted to MTCO2E by multiplying first by the GWP of CH4, or 21.</t>
        </r>
      </text>
    </comment>
  </commentList>
</comments>
</file>

<file path=xl/sharedStrings.xml><?xml version="1.0" encoding="utf-8"?>
<sst xmlns="http://schemas.openxmlformats.org/spreadsheetml/2006/main" count="4051" uniqueCount="1469">
  <si>
    <t>Maryland 2006 GHG Emissions by Sector</t>
  </si>
  <si>
    <t>Global Warming Potential</t>
  </si>
  <si>
    <t>AR5 100-yr GWP</t>
  </si>
  <si>
    <t>AR5 20-yr GWP</t>
  </si>
  <si>
    <t>CO2</t>
  </si>
  <si>
    <t>CH4</t>
  </si>
  <si>
    <t>N2O</t>
  </si>
  <si>
    <t>SF6</t>
  </si>
  <si>
    <t>HFCs &amp; PFCs</t>
  </si>
  <si>
    <t>see note</t>
  </si>
  <si>
    <t>100-year GWP</t>
  </si>
  <si>
    <t>20-year GWP</t>
  </si>
  <si>
    <t>Electricity Production (in-state)</t>
  </si>
  <si>
    <t xml:space="preserve">Net Imported Electricity </t>
  </si>
  <si>
    <t>Residential/Commercial/Industrial (RCI) Fuel Use</t>
  </si>
  <si>
    <t xml:space="preserve">Transportation </t>
  </si>
  <si>
    <t>Onroad Gasoline</t>
  </si>
  <si>
    <t>Nonroad Gasoline</t>
  </si>
  <si>
    <t>Onroad Diesel</t>
  </si>
  <si>
    <t>Nonroad Diesel</t>
  </si>
  <si>
    <t>Rail</t>
  </si>
  <si>
    <t>Marine Vessels (Gas &amp; Oil)</t>
  </si>
  <si>
    <t xml:space="preserve">Lubricants, Natural Gas, and LPG </t>
  </si>
  <si>
    <t>Jet Fuel and Aviation Gasoline</t>
  </si>
  <si>
    <t>Fossil Fuel Industry</t>
  </si>
  <si>
    <t>Industrial Processes and Product Use</t>
  </si>
  <si>
    <t>Agriculture</t>
  </si>
  <si>
    <t>Enteric Fermentation</t>
  </si>
  <si>
    <t>Manure Management</t>
  </si>
  <si>
    <t>Agricultural Soils</t>
  </si>
  <si>
    <t>Agricultural Burning</t>
  </si>
  <si>
    <t xml:space="preserve">Urea Fertilizer Usage and Liming </t>
  </si>
  <si>
    <t>Waste Management</t>
  </si>
  <si>
    <t>Waste Combustion</t>
  </si>
  <si>
    <t>Landfills</t>
  </si>
  <si>
    <t>Wastewater Management</t>
  </si>
  <si>
    <t>Residential Open Burning</t>
  </si>
  <si>
    <r>
      <rPr>
        <b/>
        <sz val="11"/>
        <color theme="1"/>
        <rFont val="Calibri"/>
      </rPr>
      <t>Gross Emissions</t>
    </r>
    <r>
      <rPr>
        <sz val="11"/>
        <color theme="1"/>
        <rFont val="Calibri"/>
      </rPr>
      <t xml:space="preserve"> (Consumption Basis; Excludes Sinks)</t>
    </r>
  </si>
  <si>
    <t>Forestry and Land Use</t>
  </si>
  <si>
    <t>Tree and Forest Carbon</t>
  </si>
  <si>
    <t>Wood Products and Landfilled Carbon</t>
  </si>
  <si>
    <t>Settlement Soils</t>
  </si>
  <si>
    <t>Forest Fires</t>
  </si>
  <si>
    <t>Agricultural Soil Carbon</t>
  </si>
  <si>
    <t>Wetlands and SAV</t>
  </si>
  <si>
    <r>
      <rPr>
        <b/>
        <sz val="11"/>
        <color theme="1"/>
        <rFont val="Calibri"/>
      </rPr>
      <t xml:space="preserve">Net Emissions </t>
    </r>
    <r>
      <rPr>
        <sz val="11"/>
        <color theme="1"/>
        <rFont val="Calibri"/>
      </rPr>
      <t>(Consumption Basis; Including forestry, land use, and ag sinks)</t>
    </r>
  </si>
  <si>
    <t>Electricity Use (Consumption)</t>
  </si>
  <si>
    <t>RCI Fuel Use</t>
  </si>
  <si>
    <t>Transportation - Onroad</t>
  </si>
  <si>
    <t>Transportation - Nonroad</t>
  </si>
  <si>
    <t>Limestone &amp; Dolomite; Soda Ash; Ammonia &amp; Urea; ODS; Electric Power T&amp;D Summary (MTCO2E)</t>
  </si>
  <si>
    <t>Limestone and Dolomite Use</t>
  </si>
  <si>
    <t>Consumption
(Metric Tons)</t>
  </si>
  <si>
    <t>Emission Factor
(t CO2/t production)</t>
  </si>
  <si>
    <t>Emissions
(MTCE)</t>
  </si>
  <si>
    <t>Emissions
(MTCO2E)</t>
  </si>
  <si>
    <t>Limestone</t>
  </si>
  <si>
    <t>x</t>
  </si>
  <si>
    <t>=</t>
  </si>
  <si>
    <t>Dolomite</t>
  </si>
  <si>
    <t>CO2_GWP=</t>
  </si>
  <si>
    <t>Magesium Production from Dolomite</t>
  </si>
  <si>
    <t>CH4_GWP =</t>
  </si>
  <si>
    <t>N2O_GWP=</t>
  </si>
  <si>
    <t>Soda Ash Use</t>
  </si>
  <si>
    <t>SF6_GWP =</t>
  </si>
  <si>
    <t>Manufacture and Consumption
(Metric tons)</t>
  </si>
  <si>
    <t>Manufacture</t>
  </si>
  <si>
    <t>Consumption</t>
  </si>
  <si>
    <t>Ammonia Production and Urea Consumption</t>
  </si>
  <si>
    <t>Production &amp; Consumption
(Metric Tons)</t>
  </si>
  <si>
    <t>Emission Factor
(mt CO2/mt activity)</t>
  </si>
  <si>
    <t>Subract emissions from Urea</t>
  </si>
  <si>
    <t>EPA U.S. Inventory State-Level Emission Estimates for Maryland</t>
  </si>
  <si>
    <t xml:space="preserve">Ammonia Production </t>
  </si>
  <si>
    <t>- (</t>
  </si>
  <si>
    <t>) =</t>
  </si>
  <si>
    <t>Year</t>
  </si>
  <si>
    <t>Urea Consumption</t>
  </si>
  <si>
    <t xml:space="preserve">   =</t>
  </si>
  <si>
    <t>MMTCO2e (AR4 100-yr GWP)</t>
  </si>
  <si>
    <t>MMTCO2e (AR4 20-yr GWP)</t>
  </si>
  <si>
    <t>ratio 20-yr : 100-yr</t>
  </si>
  <si>
    <t>Ozone Depleting Substances (ODS) Substitutes</t>
  </si>
  <si>
    <t>100-yr emissions from EPA state-level GHG inventory, https://www.epa.gov/ghgemissions/state-ghg-emissions-and-removals
20-yr emissions from email correspondence, 6/28/2022</t>
  </si>
  <si>
    <r>
      <rPr>
        <b/>
        <sz val="9"/>
        <color theme="1"/>
        <rFont val="Calibri"/>
      </rPr>
      <t xml:space="preserve"> National Emissions
(Metric Tons </t>
    </r>
    <r>
      <rPr>
        <b/>
        <vertAlign val="subscript"/>
        <sz val="9"/>
        <color theme="1"/>
        <rFont val="Calibri"/>
      </rPr>
      <t>C</t>
    </r>
    <r>
      <rPr>
        <b/>
        <sz val="9"/>
        <color theme="1"/>
        <rFont val="Calibri"/>
      </rPr>
      <t>O2 Eq.)</t>
    </r>
  </si>
  <si>
    <t>State Population</t>
  </si>
  <si>
    <t>Regional (NE) Population</t>
  </si>
  <si>
    <t xml:space="preserve">Regional ODS Consumption  %
</t>
  </si>
  <si>
    <r>
      <rPr>
        <b/>
        <sz val="9"/>
        <color theme="1"/>
        <rFont val="Calibri"/>
      </rPr>
      <t>Apportioned National Emissions
(MTCO</t>
    </r>
    <r>
      <rPr>
        <b/>
        <vertAlign val="subscript"/>
        <sz val="9"/>
        <color theme="1"/>
        <rFont val="Calibri"/>
      </rPr>
      <t>2</t>
    </r>
    <r>
      <rPr>
        <b/>
        <sz val="9"/>
        <color theme="1"/>
        <rFont val="Calibri"/>
      </rPr>
      <t>E)</t>
    </r>
  </si>
  <si>
    <t>/</t>
  </si>
  <si>
    <t>Electric Power Transmission &amp; Distribution (T&amp;D)</t>
  </si>
  <si>
    <r>
      <rPr>
        <b/>
        <sz val="9"/>
        <color theme="1"/>
        <rFont val="Calibri"/>
      </rPr>
      <t>SF</t>
    </r>
    <r>
      <rPr>
        <b/>
        <vertAlign val="subscript"/>
        <sz val="9"/>
        <color theme="1"/>
        <rFont val="Calibri"/>
      </rPr>
      <t>6</t>
    </r>
    <r>
      <rPr>
        <b/>
        <sz val="9"/>
        <color theme="1"/>
        <rFont val="Calibri"/>
      </rPr>
      <t xml:space="preserve"> Consumption
(Metric Tons)</t>
    </r>
  </si>
  <si>
    <t>Emission Factor
(t SF6/t Consumption)</t>
  </si>
  <si>
    <t>Emissions
(Metric Tons SF6)</t>
  </si>
  <si>
    <t xml:space="preserve">Emissions </t>
  </si>
  <si>
    <t>Aluminum Production (EastAlCo Shut Down)</t>
  </si>
  <si>
    <t>Production
(Metric Tons)</t>
  </si>
  <si>
    <t>Emission Factor
(t CE/t Production)</t>
  </si>
  <si>
    <t>Carbon Dioxide Emissions</t>
  </si>
  <si>
    <t>Cement Manufacture</t>
  </si>
  <si>
    <t>Lime Manufacture</t>
  </si>
  <si>
    <t>Soda Ash</t>
  </si>
  <si>
    <t>Ammonia &amp; Urea</t>
  </si>
  <si>
    <t>Iron &amp; Steel Production</t>
  </si>
  <si>
    <t>Nitrous Oxide Emissions</t>
  </si>
  <si>
    <t>Nitric Acid Production</t>
  </si>
  <si>
    <t>Adipic Acid Production</t>
  </si>
  <si>
    <t>HFC, PFC, and SF6 Emissions</t>
  </si>
  <si>
    <t>ODS Substitutes</t>
  </si>
  <si>
    <t>Semiconductor Manufacturing</t>
  </si>
  <si>
    <t>Magnesium Production</t>
  </si>
  <si>
    <t>Electric Power Transmission and Distribution Systems</t>
  </si>
  <si>
    <t>HCFC-22 Production</t>
  </si>
  <si>
    <t>Aluminum Production</t>
  </si>
  <si>
    <t>Total Emissions</t>
  </si>
  <si>
    <t>Land Use, Land-Use Change, and Forestry Emissions and Sequestration</t>
  </si>
  <si>
    <r>
      <rPr>
        <b/>
        <sz val="11"/>
        <color rgb="FF1155CC"/>
        <rFont val="Calibri"/>
      </rPr>
      <t xml:space="preserve">(A) NASA-CMS/UMD Forest Carbon Monitoring </t>
    </r>
    <r>
      <rPr>
        <sz val="11"/>
        <color rgb="FF1155CC"/>
        <rFont val="Calibri"/>
      </rPr>
      <t>(for above ground biomass)</t>
    </r>
  </si>
  <si>
    <t>AGB stocks (Tg C)</t>
  </si>
  <si>
    <t>Net AGB flux 
(Tg C/yr)</t>
  </si>
  <si>
    <t>AGB Flux from existing trees 
(Tg C/yr)</t>
  </si>
  <si>
    <t>AGB Flux from Forest to Non-forest conversion 
(Tg C/yr)</t>
  </si>
  <si>
    <t>AGB Flux from Non-forest to Forest conversion 
(Tg C/yr)</t>
  </si>
  <si>
    <r>
      <rPr>
        <b/>
        <sz val="11"/>
        <color rgb="FF1155CC"/>
        <rFont val="Calibri"/>
      </rPr>
      <t xml:space="preserve">(B) USFS Model state-level estimates </t>
    </r>
    <r>
      <rPr>
        <sz val="11"/>
        <color rgb="FF1155CC"/>
        <rFont val="Calibri"/>
      </rPr>
      <t>(for other forest pools)</t>
    </r>
  </si>
  <si>
    <t>https://www.nrs.fs.fed.us/pubs/62418</t>
  </si>
  <si>
    <t>https://www.fs.usda.gov/rds/archive/Catalog/RDS-2021-0035</t>
  </si>
  <si>
    <t>US_GHG_emissions_removals_from_forest_woodlands_urban_trees_1990_2019.xlsx</t>
  </si>
  <si>
    <t>Net CO2 Flux from Forest Pools in Forest Land Remaining Forest Land (MMT CO2 Eq.)</t>
  </si>
  <si>
    <t>State</t>
  </si>
  <si>
    <t>Carbon Pools</t>
  </si>
  <si>
    <t>Maryland</t>
  </si>
  <si>
    <t>Dead Wood</t>
  </si>
  <si>
    <t>Litter</t>
  </si>
  <si>
    <t>Soil (Mineral)</t>
  </si>
  <si>
    <t>Soil (Organic)</t>
  </si>
  <si>
    <t>Net CO2 Flux from Forest C Pools in Land Converted to Forest Land by Land Use Change Category (MMT CO2 Eq.)</t>
  </si>
  <si>
    <t>Land Use Conversion</t>
  </si>
  <si>
    <t>Land Use/Carbon Pool</t>
  </si>
  <si>
    <t>Totals (Pools)</t>
  </si>
  <si>
    <t>Total Dead Wood Flux</t>
  </si>
  <si>
    <t>Total Litter Flux</t>
  </si>
  <si>
    <t>Total Soil (Mineral) Flux</t>
  </si>
  <si>
    <t>Net CO2 Flux from Forest C Pools in Forest Land Converted to Land by Land Use Change Category (MMT CO2 Eq.)</t>
  </si>
  <si>
    <t>* 2019 Available Data</t>
  </si>
  <si>
    <t>Tree and Forest Carbon Summary</t>
  </si>
  <si>
    <t>Emissions (MMTCO2e)</t>
  </si>
  <si>
    <t>Above Ground Biomass Flux¹</t>
  </si>
  <si>
    <t>Below Ground Biomass Flux¹ ²</t>
  </si>
  <si>
    <t>Deadwood³</t>
  </si>
  <si>
    <t>Litter³</t>
  </si>
  <si>
    <t>Soil (Mineral)³</t>
  </si>
  <si>
    <t>Soil (Organic)³</t>
  </si>
  <si>
    <t>Total</t>
  </si>
  <si>
    <t>Landfilled Yard Trimmings and Food Scraps</t>
  </si>
  <si>
    <r>
      <rPr>
        <b/>
        <sz val="9"/>
        <color theme="1"/>
        <rFont val="Calibri"/>
      </rPr>
      <t>Emissions* (MMTCO</t>
    </r>
    <r>
      <rPr>
        <b/>
        <vertAlign val="subscript"/>
        <sz val="9"/>
        <color theme="1"/>
        <rFont val="Calibri"/>
      </rPr>
      <t>2</t>
    </r>
    <r>
      <rPr>
        <b/>
        <sz val="9"/>
        <color theme="1"/>
        <rFont val="Calibri"/>
      </rPr>
      <t>E)</t>
    </r>
  </si>
  <si>
    <t>Grass</t>
  </si>
  <si>
    <t>Leaves</t>
  </si>
  <si>
    <t>Branches</t>
  </si>
  <si>
    <t>Landfilled Food Scraps</t>
  </si>
  <si>
    <t>Total Wood Products and Landfills</t>
  </si>
  <si>
    <t>Net Sequestration/Emissions MMTCO2E</t>
  </si>
  <si>
    <t>Total wood products and landfills</t>
  </si>
  <si>
    <t>Total Synthetic Fertilizer Applied to Settlements
(Metric Tons N)</t>
  </si>
  <si>
    <t>Emission Factor
(percent)</t>
  </si>
  <si>
    <t>N2O-N</t>
  </si>
  <si>
    <t>N2O GWP</t>
  </si>
  <si>
    <t>Carbon Dioxide Emissions
(MMTCO2E)</t>
  </si>
  <si>
    <t>Area Burned (acres)-Other temperate forests</t>
  </si>
  <si>
    <t>Area Burned (ha)</t>
  </si>
  <si>
    <t>Average Biomass Density (kg d.m. / ha)</t>
  </si>
  <si>
    <t>Combustion efficiency</t>
  </si>
  <si>
    <t>Emission Factor (g/kg dry matter burned)</t>
  </si>
  <si>
    <t>MTN2O Emitted</t>
  </si>
  <si>
    <t>MTCH4 Emitted</t>
  </si>
  <si>
    <t>Area Burned (acres) -Shrublands</t>
  </si>
  <si>
    <t>CH4 GWP</t>
  </si>
  <si>
    <t>Emissions MMTCO2E</t>
  </si>
  <si>
    <t>Summary Forest Fire</t>
  </si>
  <si>
    <t>Net Sequestration/Emissions-MMTCO2E</t>
  </si>
  <si>
    <t>Wetlands and Submerged Aquatic Vegetation (SAV)</t>
  </si>
  <si>
    <t>Coastal Wetlands and SAV</t>
  </si>
  <si>
    <t>Area (acres)</t>
  </si>
  <si>
    <t>Wetland Category and Salinity</t>
  </si>
  <si>
    <t>Coastal Bays Estaurine Wetland</t>
  </si>
  <si>
    <t>Mesohaline Estaurine Wetlands</t>
  </si>
  <si>
    <t>Freshwater SAV</t>
  </si>
  <si>
    <t>Oligohaline SAV</t>
  </si>
  <si>
    <t>Mesohaline SAV</t>
  </si>
  <si>
    <t>Coastal Bays SAV</t>
  </si>
  <si>
    <t>Total, Wetlands</t>
  </si>
  <si>
    <t>Total, SAV</t>
  </si>
  <si>
    <t>Soil Carbon Burial (Mg CO2)</t>
  </si>
  <si>
    <t>Mg CO2 acre-1 yr-1</t>
  </si>
  <si>
    <t>Methane Emissions (Mg CH4)</t>
  </si>
  <si>
    <t>Mg CH4 ac-1 yr-1</t>
  </si>
  <si>
    <t>Carbon Flux from Wetland Landuse Change (Mg CO2)</t>
  </si>
  <si>
    <t>Wetland Land -Use Change from National Inventory</t>
  </si>
  <si>
    <t>Vegetated Coastal Wetlands Converted to Unvegetated Open Water Coastal Wetlands</t>
  </si>
  <si>
    <t>Biomass C Flux</t>
  </si>
  <si>
    <t>Dead Organic Matter C Flux</t>
  </si>
  <si>
    <t>Soil C Flux</t>
  </si>
  <si>
    <t>Unvegetated Open Water Coastal Wetlands Converted to Vegetated Coastal Wetlands</t>
  </si>
  <si>
    <t>Total, Wetland LU Change</t>
  </si>
  <si>
    <t>Flooded Lands</t>
  </si>
  <si>
    <t>IPCC Emission Factors</t>
  </si>
  <si>
    <t>Surface Area (ha)</t>
  </si>
  <si>
    <t>Annual Methane Emissions (MT CH4)</t>
  </si>
  <si>
    <t>Flooded Land Category</t>
  </si>
  <si>
    <t>Climate Zone</t>
  </si>
  <si>
    <t>kg CH4 /ha/yr</t>
  </si>
  <si>
    <t>MT CO2-C /ha/yr</t>
  </si>
  <si>
    <t>MT CO2 /ha/yr</t>
  </si>
  <si>
    <t>Reservoirs &gt; 20 years old (&gt;= 8 ha)</t>
  </si>
  <si>
    <t>Cool Temperate</t>
  </si>
  <si>
    <t>Warm temperate moist</t>
  </si>
  <si>
    <t>Reservoirs &lt;= 20 years old (&gt;= 8 ha)</t>
  </si>
  <si>
    <t>Downstream Emission</t>
  </si>
  <si>
    <t>All</t>
  </si>
  <si>
    <t>Freshwater Ponds &gt; 20 years (&lt; 8 ha)</t>
  </si>
  <si>
    <t>Freshwater Ponds &lt;= 20 years old (&lt; 8 ha)</t>
  </si>
  <si>
    <t>Canals &amp; Ditches</t>
  </si>
  <si>
    <t>Annual CO2 Emissions (MT CO2)</t>
  </si>
  <si>
    <t>Wetlands &amp; SAV Summary</t>
  </si>
  <si>
    <t>Coastal Wetlands</t>
  </si>
  <si>
    <t>SAV</t>
  </si>
  <si>
    <t>Flooded Land</t>
  </si>
  <si>
    <t>Net Forest and Landuse Emissions</t>
  </si>
  <si>
    <t>Net Forest and Landuse Emissions (MMTCO2e)</t>
  </si>
  <si>
    <t>Agricultural Soil Carbon Flux</t>
  </si>
  <si>
    <t>¹Includes the landuse categories of Forest Land Remaining Forest Land, Land Converted to Forest Land, Forest Land Converted to Land, and Settlement Trees</t>
  </si>
  <si>
    <t>²Calculated from ratio to aboveground biomass</t>
  </si>
  <si>
    <t>³USFS state-level estimates, exclusive of settlement trees</t>
  </si>
  <si>
    <t>Electric Power Production (RGGI Units) and CO2 Emissions in Maryland</t>
  </si>
  <si>
    <t>RGGI COAL COMBUSTION BY UNIT</t>
  </si>
  <si>
    <t>Red = RGGI  Data</t>
  </si>
  <si>
    <t>Plant ID</t>
  </si>
  <si>
    <t xml:space="preserve">Plant Name </t>
  </si>
  <si>
    <t>Equipment Description</t>
  </si>
  <si>
    <t>Fuel Type</t>
  </si>
  <si>
    <t>Usage</t>
  </si>
  <si>
    <t>Heat Content</t>
  </si>
  <si>
    <t xml:space="preserve">Heat Content </t>
  </si>
  <si>
    <t>Fuel Heat Input</t>
  </si>
  <si>
    <r>
      <rPr>
        <b/>
        <sz val="10"/>
        <color theme="1"/>
        <rFont val="Arial"/>
      </rPr>
      <t>CO</t>
    </r>
    <r>
      <rPr>
        <b/>
        <vertAlign val="subscript"/>
        <sz val="10"/>
        <color theme="1"/>
        <rFont val="Arial"/>
      </rPr>
      <t>2</t>
    </r>
    <r>
      <rPr>
        <b/>
        <sz val="10"/>
        <color theme="1"/>
        <rFont val="Arial"/>
      </rPr>
      <t xml:space="preserve"> Emmission </t>
    </r>
  </si>
  <si>
    <t>(tons)</t>
  </si>
  <si>
    <t>Units</t>
  </si>
  <si>
    <t>(MMBTU)</t>
  </si>
  <si>
    <t>(ECR)</t>
  </si>
  <si>
    <t xml:space="preserve">     RGGI</t>
  </si>
  <si>
    <t>001-0203</t>
  </si>
  <si>
    <t>AES WARRIOR RUN COGEN</t>
  </si>
  <si>
    <t>001-3-0127</t>
  </si>
  <si>
    <t xml:space="preserve">ACF Boiler </t>
  </si>
  <si>
    <t>Coal</t>
  </si>
  <si>
    <t>Btu/lb</t>
  </si>
  <si>
    <t>003-0468</t>
  </si>
  <si>
    <t xml:space="preserve"> Brandon Shores </t>
  </si>
  <si>
    <t>Unit 1</t>
  </si>
  <si>
    <t>P-Coal</t>
  </si>
  <si>
    <t>Unit 2</t>
  </si>
  <si>
    <t>24-005-0079</t>
  </si>
  <si>
    <t xml:space="preserve">C.P.Crane </t>
  </si>
  <si>
    <t>3-0108</t>
  </si>
  <si>
    <t>Boiler Unit 1</t>
  </si>
  <si>
    <t>3-0109</t>
  </si>
  <si>
    <t>Boiler Unit 2</t>
  </si>
  <si>
    <t>033-00014</t>
  </si>
  <si>
    <t>Chalk Point</t>
  </si>
  <si>
    <t>1600-14-30004</t>
  </si>
  <si>
    <t>Btu/ lb</t>
  </si>
  <si>
    <t>1600-14-30005</t>
  </si>
  <si>
    <t>003-0014</t>
  </si>
  <si>
    <t>HERBERT A WAGNER</t>
  </si>
  <si>
    <t>4-0308</t>
  </si>
  <si>
    <t>MMBtu/ tons</t>
  </si>
  <si>
    <t>3-0003</t>
  </si>
  <si>
    <t>Unit 3</t>
  </si>
  <si>
    <t>043-0005</t>
  </si>
  <si>
    <t>R P SMITH</t>
  </si>
  <si>
    <t>043-0005-3-0005</t>
  </si>
  <si>
    <t>Unit 3 (9)</t>
  </si>
  <si>
    <t>043-0005-3-0006</t>
  </si>
  <si>
    <t>Unit 4 (11)</t>
  </si>
  <si>
    <t>031-0019</t>
  </si>
  <si>
    <t>Mirant Dickerson</t>
  </si>
  <si>
    <t>1500-19-30001</t>
  </si>
  <si>
    <t>Boiler 1</t>
  </si>
  <si>
    <t>1500-19-30002</t>
  </si>
  <si>
    <t>Boiler 2</t>
  </si>
  <si>
    <t>1500-19-30003</t>
  </si>
  <si>
    <t>Boiler 3</t>
  </si>
  <si>
    <t>017-0014</t>
  </si>
  <si>
    <t>Mirant Morgantown</t>
  </si>
  <si>
    <t>0800-14-30002</t>
  </si>
  <si>
    <t>Coal (Sc)</t>
  </si>
  <si>
    <t>080-14-30003</t>
  </si>
  <si>
    <t>Luke</t>
  </si>
  <si>
    <t>Penwood Boiler (24-26)</t>
  </si>
  <si>
    <t>Coal (MMBTU)</t>
  </si>
  <si>
    <t>RGGI OIL COMBUSTION BY UNIT</t>
  </si>
  <si>
    <t>DFO = #2 Oil</t>
  </si>
  <si>
    <r>
      <rPr>
        <b/>
        <sz val="10"/>
        <color theme="1"/>
        <rFont val="Arial"/>
      </rPr>
      <t>CO</t>
    </r>
    <r>
      <rPr>
        <b/>
        <vertAlign val="subscript"/>
        <sz val="10"/>
        <color theme="1"/>
        <rFont val="Arial"/>
      </rPr>
      <t>2</t>
    </r>
    <r>
      <rPr>
        <b/>
        <sz val="10"/>
        <color theme="1"/>
        <rFont val="Arial"/>
      </rPr>
      <t xml:space="preserve"> Emmission </t>
    </r>
  </si>
  <si>
    <t>(gallons)</t>
  </si>
  <si>
    <t xml:space="preserve"> Unit</t>
  </si>
  <si>
    <t>Diesel (#2)</t>
  </si>
  <si>
    <t>Btu/gal</t>
  </si>
  <si>
    <t>Emergency Engine (Boiler Feed Pump)</t>
  </si>
  <si>
    <t>3-0015</t>
  </si>
  <si>
    <t>S-No. 2 Oil</t>
  </si>
  <si>
    <t>MMBtu/ 1E+03 gal</t>
  </si>
  <si>
    <t>3-0016</t>
  </si>
  <si>
    <t>#2 Oli</t>
  </si>
  <si>
    <t>1600-14-40998</t>
  </si>
  <si>
    <t>Unit 4</t>
  </si>
  <si>
    <t>1600-14-40999</t>
  </si>
  <si>
    <t xml:space="preserve"> CT 1</t>
  </si>
  <si>
    <t>1600-14-41145</t>
  </si>
  <si>
    <t>CT2</t>
  </si>
  <si>
    <t>1600-14-90752</t>
  </si>
  <si>
    <t>CT3**</t>
  </si>
  <si>
    <t>1600-14-90753</t>
  </si>
  <si>
    <t>CT4**</t>
  </si>
  <si>
    <t>1600-14-90754</t>
  </si>
  <si>
    <t>CT5**</t>
  </si>
  <si>
    <t>1600-14-90755</t>
  </si>
  <si>
    <t>CT6**</t>
  </si>
  <si>
    <t>4-0007</t>
  </si>
  <si>
    <t>CT</t>
  </si>
  <si>
    <t>No.2 Oil</t>
  </si>
  <si>
    <t>MMBTU/10E+03 gallons</t>
  </si>
  <si>
    <t>024-025-0024</t>
  </si>
  <si>
    <t xml:space="preserve">Perryman </t>
  </si>
  <si>
    <t>5-0088</t>
  </si>
  <si>
    <t>Unit 51 CT</t>
  </si>
  <si>
    <t>4-0081</t>
  </si>
  <si>
    <t>Unit 1 CT</t>
  </si>
  <si>
    <t>4-0082</t>
  </si>
  <si>
    <t>Unit 2 CT</t>
  </si>
  <si>
    <t>4-0083</t>
  </si>
  <si>
    <t>Unit 3 CT</t>
  </si>
  <si>
    <t>4-0084</t>
  </si>
  <si>
    <t>Unit 4 CT</t>
  </si>
  <si>
    <t>#2 Oil</t>
  </si>
  <si>
    <t>Btu/ gal</t>
  </si>
  <si>
    <t>005-0078</t>
  </si>
  <si>
    <t>Riverside</t>
  </si>
  <si>
    <t>4-0658</t>
  </si>
  <si>
    <t>Combustion Turbine # 7</t>
  </si>
  <si>
    <t>4-0659</t>
  </si>
  <si>
    <t xml:space="preserve">Combustion Turbine #8 </t>
  </si>
  <si>
    <t>019-0013</t>
  </si>
  <si>
    <t>Vienna Generating Station</t>
  </si>
  <si>
    <t>4-0065</t>
  </si>
  <si>
    <t>Unit 8</t>
  </si>
  <si>
    <t>Btu/gallons</t>
  </si>
  <si>
    <t>031-1822</t>
  </si>
  <si>
    <t>Mirant Station H</t>
  </si>
  <si>
    <t>1518-22-90362</t>
  </si>
  <si>
    <t>CT 1</t>
  </si>
  <si>
    <t>158-22-90363</t>
  </si>
  <si>
    <t>CT 2</t>
  </si>
  <si>
    <t>0800-14-4-0070</t>
  </si>
  <si>
    <t>CT 3</t>
  </si>
  <si>
    <t>No. 2 Fuel Oil</t>
  </si>
  <si>
    <t>Btu/ gallons</t>
  </si>
  <si>
    <t>0800-14-4-0074</t>
  </si>
  <si>
    <t>CT 5</t>
  </si>
  <si>
    <t>0800-14-4-0075</t>
  </si>
  <si>
    <t>CT 6</t>
  </si>
  <si>
    <t>001-0011</t>
  </si>
  <si>
    <t>Luke (NewPage)</t>
  </si>
  <si>
    <t>01-0011-3-0018</t>
  </si>
  <si>
    <t>No. 24 Boiler</t>
  </si>
  <si>
    <t>Distillate Fuel Oil (MMBTU)</t>
  </si>
  <si>
    <t>4-1363</t>
  </si>
  <si>
    <t xml:space="preserve">Combustion Turbine # 6 </t>
  </si>
  <si>
    <t>Kerosene</t>
  </si>
  <si>
    <t>RFO = #6 Oil</t>
  </si>
  <si>
    <t>Usage Unit</t>
  </si>
  <si>
    <t>Heat Content Unit</t>
  </si>
  <si>
    <r>
      <rPr>
        <b/>
        <sz val="10"/>
        <color theme="1"/>
        <rFont val="Arial"/>
      </rPr>
      <t>CO</t>
    </r>
    <r>
      <rPr>
        <b/>
        <vertAlign val="subscript"/>
        <sz val="10"/>
        <color theme="1"/>
        <rFont val="Arial"/>
      </rPr>
      <t>2</t>
    </r>
    <r>
      <rPr>
        <b/>
        <sz val="10"/>
        <color theme="1"/>
        <rFont val="Arial"/>
      </rPr>
      <t xml:space="preserve"> Emmission </t>
    </r>
  </si>
  <si>
    <t>#6 Oil</t>
  </si>
  <si>
    <t>gallons</t>
  </si>
  <si>
    <t>4-0307</t>
  </si>
  <si>
    <t>No. 6 Oil</t>
  </si>
  <si>
    <t>4-0017</t>
  </si>
  <si>
    <t>Boiler 2  (Unit 4)</t>
  </si>
  <si>
    <t>P-No.6 Oil</t>
  </si>
  <si>
    <t>Waste Oil</t>
  </si>
  <si>
    <t xml:space="preserve">Severstal </t>
  </si>
  <si>
    <r>
      <rPr>
        <b/>
        <sz val="10"/>
        <color theme="1"/>
        <rFont val="Arial"/>
      </rPr>
      <t>Pennwood Boilers</t>
    </r>
    <r>
      <rPr>
        <sz val="8"/>
        <color theme="1"/>
        <rFont val="Arial"/>
      </rPr>
      <t xml:space="preserve"> No. 1 -  No. 4</t>
    </r>
  </si>
  <si>
    <t>5-0491-15</t>
  </si>
  <si>
    <t>Residual Fuel Oil (MMBTU)</t>
  </si>
  <si>
    <t>Total Petroleum (MMBTU)</t>
  </si>
  <si>
    <t>RGGI NATURAL GAS COMBUSTION BY UNIT</t>
  </si>
  <si>
    <r>
      <rPr>
        <b/>
        <sz val="10"/>
        <color theme="1"/>
        <rFont val="Arial"/>
      </rPr>
      <t>CO</t>
    </r>
    <r>
      <rPr>
        <b/>
        <vertAlign val="subscript"/>
        <sz val="10"/>
        <color theme="1"/>
        <rFont val="Arial"/>
      </rPr>
      <t>2</t>
    </r>
    <r>
      <rPr>
        <b/>
        <sz val="10"/>
        <color theme="1"/>
        <rFont val="Arial"/>
      </rPr>
      <t xml:space="preserve"> Emmission </t>
    </r>
  </si>
  <si>
    <t>(Scf)</t>
  </si>
  <si>
    <t>001-6-0136</t>
  </si>
  <si>
    <t>Limestone Dryer</t>
  </si>
  <si>
    <t>Natural Gas</t>
  </si>
  <si>
    <t>Btu/scf</t>
  </si>
  <si>
    <t>001-6-0243/0244</t>
  </si>
  <si>
    <t>Natural Gas (Space)  Heater</t>
  </si>
  <si>
    <t>S-Gas</t>
  </si>
  <si>
    <t>MMBtu/1E+06 scf</t>
  </si>
  <si>
    <t>Gas</t>
  </si>
  <si>
    <t>033-01827</t>
  </si>
  <si>
    <t xml:space="preserve">Chalkpoint -SMECO </t>
  </si>
  <si>
    <t>1827-5-1289</t>
  </si>
  <si>
    <t>Combustion Turbine</t>
  </si>
  <si>
    <t>MMBTU/ 10E+06 scf</t>
  </si>
  <si>
    <t>MMBTU/10E+06 scf</t>
  </si>
  <si>
    <t>4-1082</t>
  </si>
  <si>
    <t xml:space="preserve"> Boiler #4</t>
  </si>
  <si>
    <t>510-0006</t>
  </si>
  <si>
    <t xml:space="preserve"> Westport</t>
  </si>
  <si>
    <t>5-0005</t>
  </si>
  <si>
    <t xml:space="preserve">Combustion Turbine Unit 5 </t>
  </si>
  <si>
    <t>033-2200</t>
  </si>
  <si>
    <t>Panda Brandywine</t>
  </si>
  <si>
    <t>5-0844</t>
  </si>
  <si>
    <t>MMBtu/ scf</t>
  </si>
  <si>
    <t>5-0845</t>
  </si>
  <si>
    <t>MMBtu/  scf</t>
  </si>
  <si>
    <t>015-0202</t>
  </si>
  <si>
    <t xml:space="preserve">Rock Spring </t>
  </si>
  <si>
    <t>5-0076</t>
  </si>
  <si>
    <t>Turbine 1</t>
  </si>
  <si>
    <t>5-0077</t>
  </si>
  <si>
    <t>Turbine 2</t>
  </si>
  <si>
    <t>5-0078</t>
  </si>
  <si>
    <t>Turbine 3</t>
  </si>
  <si>
    <t>5-0079</t>
  </si>
  <si>
    <t>Turbine 4</t>
  </si>
  <si>
    <t>Severstal</t>
  </si>
  <si>
    <t>BFG</t>
  </si>
  <si>
    <t>Natural Gas (MMBTU)</t>
  </si>
  <si>
    <t>CO2 EMISSION SUMMARY</t>
  </si>
  <si>
    <t>RGGI ALL UNITS</t>
  </si>
  <si>
    <t>MMBTU</t>
  </si>
  <si>
    <r>
      <rPr>
        <b/>
        <sz val="10"/>
        <color theme="1"/>
        <rFont val="Arial"/>
      </rPr>
      <t>CO</t>
    </r>
    <r>
      <rPr>
        <b/>
        <vertAlign val="subscript"/>
        <sz val="10"/>
        <color theme="1"/>
        <rFont val="Arial"/>
      </rPr>
      <t>2</t>
    </r>
    <r>
      <rPr>
        <b/>
        <sz val="10"/>
        <color theme="1"/>
        <rFont val="Arial"/>
      </rPr>
      <t xml:space="preserve"> Emission </t>
    </r>
  </si>
  <si>
    <r>
      <rPr>
        <b/>
        <sz val="10"/>
        <color theme="1"/>
        <rFont val="Arial"/>
      </rPr>
      <t>CO</t>
    </r>
    <r>
      <rPr>
        <b/>
        <vertAlign val="subscript"/>
        <sz val="10"/>
        <color theme="1"/>
        <rFont val="Arial"/>
      </rPr>
      <t>2</t>
    </r>
    <r>
      <rPr>
        <b/>
        <sz val="10"/>
        <color theme="1"/>
        <rFont val="Arial"/>
      </rPr>
      <t xml:space="preserve"> Emission </t>
    </r>
  </si>
  <si>
    <r>
      <rPr>
        <b/>
        <sz val="10"/>
        <color theme="1"/>
        <rFont val="Arial"/>
      </rPr>
      <t>CO</t>
    </r>
    <r>
      <rPr>
        <b/>
        <vertAlign val="subscript"/>
        <sz val="10"/>
        <color theme="1"/>
        <rFont val="Arial"/>
      </rPr>
      <t>2</t>
    </r>
    <r>
      <rPr>
        <b/>
        <sz val="10"/>
        <color theme="1"/>
        <rFont val="Arial"/>
      </rPr>
      <t xml:space="preserve"> Emission</t>
    </r>
  </si>
  <si>
    <r>
      <rPr>
        <b/>
        <sz val="10"/>
        <color theme="1"/>
        <rFont val="Arial"/>
      </rPr>
      <t>CO</t>
    </r>
    <r>
      <rPr>
        <b/>
        <vertAlign val="subscript"/>
        <sz val="10"/>
        <color theme="1"/>
        <rFont val="Arial"/>
      </rPr>
      <t>2</t>
    </r>
    <r>
      <rPr>
        <b/>
        <sz val="10"/>
        <color theme="1"/>
        <rFont val="Arial"/>
      </rPr>
      <t xml:space="preserve"> Emission </t>
    </r>
  </si>
  <si>
    <t>(short tons)</t>
  </si>
  <si>
    <t>(metric tons)</t>
  </si>
  <si>
    <r>
      <rPr>
        <b/>
        <sz val="10"/>
        <color theme="1"/>
        <rFont val="Arial"/>
      </rPr>
      <t xml:space="preserve"> (MMTCO</t>
    </r>
    <r>
      <rPr>
        <b/>
        <vertAlign val="subscript"/>
        <sz val="10"/>
        <color theme="1"/>
        <rFont val="Arial"/>
      </rPr>
      <t>2</t>
    </r>
    <r>
      <rPr>
        <b/>
        <sz val="10"/>
        <color theme="1"/>
        <rFont val="Arial"/>
      </rPr>
      <t>)</t>
    </r>
  </si>
  <si>
    <t>(MMTC)</t>
  </si>
  <si>
    <t>Petroleum</t>
  </si>
  <si>
    <t>CH4 EMISSION SUMMARY</t>
  </si>
  <si>
    <r>
      <rPr>
        <sz val="14"/>
        <color rgb="FF000000"/>
        <rFont val="Comic Sans MS"/>
      </rPr>
      <t>Electric Power Sector CH</t>
    </r>
    <r>
      <rPr>
        <vertAlign val="subscript"/>
        <sz val="14"/>
        <color rgb="FF000000"/>
        <rFont val="Comic Sans MS"/>
      </rPr>
      <t>4</t>
    </r>
  </si>
  <si>
    <t>Emission Factor</t>
  </si>
  <si>
    <t>GWP</t>
  </si>
  <si>
    <t>(Billion Btu)</t>
  </si>
  <si>
    <t>(metric tons CH4 /BBtu)</t>
  </si>
  <si>
    <t>(metric tons CH4)</t>
  </si>
  <si>
    <r>
      <rPr>
        <b/>
        <sz val="10"/>
        <color theme="1"/>
        <rFont val="Comic Sans MS"/>
      </rPr>
      <t>(MMTCO</t>
    </r>
    <r>
      <rPr>
        <b/>
        <vertAlign val="subscript"/>
        <sz val="10"/>
        <color theme="1"/>
        <rFont val="Comic Sans MS"/>
      </rPr>
      <t>2</t>
    </r>
    <r>
      <rPr>
        <b/>
        <sz val="10"/>
        <color theme="1"/>
        <rFont val="Comic Sans MS"/>
      </rPr>
      <t>E)</t>
    </r>
  </si>
  <si>
    <t>Distillate Fuel</t>
  </si>
  <si>
    <t>Residual Fuel</t>
  </si>
  <si>
    <t>N2O EMISSION SUMMARY</t>
  </si>
  <si>
    <r>
      <rPr>
        <sz val="14"/>
        <color theme="1"/>
        <rFont val="Comic Sans MS"/>
      </rPr>
      <t>Electric Power Sector N</t>
    </r>
    <r>
      <rPr>
        <vertAlign val="subscript"/>
        <sz val="14"/>
        <color theme="1"/>
        <rFont val="Comic Sans MS"/>
      </rPr>
      <t>2</t>
    </r>
    <r>
      <rPr>
        <sz val="14"/>
        <color theme="1"/>
        <rFont val="Comic Sans MS"/>
      </rPr>
      <t>O</t>
    </r>
  </si>
  <si>
    <t>Emissions</t>
  </si>
  <si>
    <t>(metric tons N2O/BBtu)</t>
  </si>
  <si>
    <t>(metric tons N2O)</t>
  </si>
  <si>
    <r>
      <rPr>
        <b/>
        <sz val="10"/>
        <color theme="1"/>
        <rFont val="Comic Sans MS"/>
      </rPr>
      <t>(MMTCO</t>
    </r>
    <r>
      <rPr>
        <b/>
        <vertAlign val="subscript"/>
        <sz val="10"/>
        <color theme="1"/>
        <rFont val="Comic Sans MS"/>
      </rPr>
      <t>2</t>
    </r>
    <r>
      <rPr>
        <b/>
        <sz val="10"/>
        <color theme="1"/>
        <rFont val="Comic Sans MS"/>
      </rPr>
      <t>E)</t>
    </r>
  </si>
  <si>
    <t>GHG EMISSION SUMMARY</t>
  </si>
  <si>
    <t>Electric Power Sector GHG</t>
  </si>
  <si>
    <r>
      <rPr>
        <b/>
        <sz val="10"/>
        <color theme="1"/>
        <rFont val="Comic Sans MS"/>
      </rPr>
      <t>CO</t>
    </r>
    <r>
      <rPr>
        <b/>
        <vertAlign val="subscript"/>
        <sz val="10"/>
        <color theme="1"/>
        <rFont val="Comic Sans MS"/>
      </rPr>
      <t>2</t>
    </r>
  </si>
  <si>
    <r>
      <rPr>
        <b/>
        <sz val="10"/>
        <color theme="1"/>
        <rFont val="Comic Sans MS"/>
      </rPr>
      <t>N</t>
    </r>
    <r>
      <rPr>
        <b/>
        <vertAlign val="subscript"/>
        <sz val="10"/>
        <color theme="1"/>
        <rFont val="Comic Sans MS"/>
      </rPr>
      <t>2</t>
    </r>
    <r>
      <rPr>
        <b/>
        <sz val="10"/>
        <color theme="1"/>
        <rFont val="Comic Sans MS"/>
      </rPr>
      <t>O</t>
    </r>
  </si>
  <si>
    <r>
      <rPr>
        <b/>
        <sz val="10"/>
        <color theme="1"/>
        <rFont val="Comic Sans MS"/>
      </rPr>
      <t>CH</t>
    </r>
    <r>
      <rPr>
        <b/>
        <vertAlign val="subscript"/>
        <sz val="10"/>
        <color theme="1"/>
        <rFont val="Comic Sans MS"/>
      </rPr>
      <t>4</t>
    </r>
  </si>
  <si>
    <r>
      <rPr>
        <b/>
        <sz val="10"/>
        <color theme="1"/>
        <rFont val="Comic Sans MS"/>
      </rPr>
      <t>(MMTCO</t>
    </r>
    <r>
      <rPr>
        <b/>
        <vertAlign val="subscript"/>
        <sz val="10"/>
        <color theme="1"/>
        <rFont val="Comic Sans MS"/>
      </rPr>
      <t>2</t>
    </r>
    <r>
      <rPr>
        <b/>
        <sz val="10"/>
        <color theme="1"/>
        <rFont val="Comic Sans MS"/>
      </rPr>
      <t>E)</t>
    </r>
  </si>
  <si>
    <r>
      <rPr>
        <b/>
        <sz val="10"/>
        <color theme="1"/>
        <rFont val="Comic Sans MS"/>
      </rPr>
      <t>(MMTCO</t>
    </r>
    <r>
      <rPr>
        <b/>
        <vertAlign val="subscript"/>
        <sz val="10"/>
        <color theme="1"/>
        <rFont val="Comic Sans MS"/>
      </rPr>
      <t>2</t>
    </r>
    <r>
      <rPr>
        <b/>
        <sz val="10"/>
        <color theme="1"/>
        <rFont val="Comic Sans MS"/>
      </rPr>
      <t>E)</t>
    </r>
  </si>
  <si>
    <r>
      <rPr>
        <b/>
        <sz val="10"/>
        <color theme="1"/>
        <rFont val="Comic Sans MS"/>
      </rPr>
      <t>(MMTCO</t>
    </r>
    <r>
      <rPr>
        <b/>
        <vertAlign val="subscript"/>
        <sz val="10"/>
        <color theme="1"/>
        <rFont val="Comic Sans MS"/>
      </rPr>
      <t>2</t>
    </r>
    <r>
      <rPr>
        <b/>
        <sz val="10"/>
        <color theme="1"/>
        <rFont val="Comic Sans MS"/>
      </rPr>
      <t>E)</t>
    </r>
  </si>
  <si>
    <r>
      <rPr>
        <b/>
        <sz val="10"/>
        <color theme="1"/>
        <rFont val="Comic Sans MS"/>
      </rPr>
      <t>(MMTCO</t>
    </r>
    <r>
      <rPr>
        <b/>
        <vertAlign val="subscript"/>
        <sz val="10"/>
        <color theme="1"/>
        <rFont val="Comic Sans MS"/>
      </rPr>
      <t>2</t>
    </r>
    <r>
      <rPr>
        <b/>
        <sz val="10"/>
        <color theme="1"/>
        <rFont val="Comic Sans MS"/>
      </rPr>
      <t>E)</t>
    </r>
  </si>
  <si>
    <t>Electric Power Production (Non-RGGI Units) Emissions in Maryland</t>
  </si>
  <si>
    <t>Fuel Heat Input
(MMBTU)</t>
  </si>
  <si>
    <t>NON-RGGI DISTILLATE OIL COMBUSTION BY UNIT</t>
  </si>
  <si>
    <t>4-0091</t>
  </si>
  <si>
    <t>Aux Boiler # 2</t>
  </si>
  <si>
    <t>4-1107</t>
  </si>
  <si>
    <t>Aux Boiler # 3</t>
  </si>
  <si>
    <t>4-0089</t>
  </si>
  <si>
    <t>CT (14 MW)</t>
  </si>
  <si>
    <t>#2 Fuel Oil</t>
  </si>
  <si>
    <t>CPSG- Philadelphia Road Power</t>
  </si>
  <si>
    <t>4-0431</t>
  </si>
  <si>
    <t>No. 2 Oil</t>
  </si>
  <si>
    <t>MMBTU/ 1E+03 gallons</t>
  </si>
  <si>
    <t>4-0432</t>
  </si>
  <si>
    <t>4-0433</t>
  </si>
  <si>
    <t>4-0434</t>
  </si>
  <si>
    <t xml:space="preserve">Connectiv - Crisfield Generation </t>
  </si>
  <si>
    <t>039-0017-9-0021</t>
  </si>
  <si>
    <t>Unit 1 General Motors 2.5 MW</t>
  </si>
  <si>
    <t>039-0017-9-0022</t>
  </si>
  <si>
    <t>Unit 2 General Motors 2.5 MW</t>
  </si>
  <si>
    <t>039-0017-9-0023</t>
  </si>
  <si>
    <t>Unit 3 General Motors 2.5 MW</t>
  </si>
  <si>
    <t>039-0017-9-0024</t>
  </si>
  <si>
    <t>Unit 4 General Motors 2.5 MW</t>
  </si>
  <si>
    <t>Easton Utility</t>
  </si>
  <si>
    <t>041-0029-9-0023</t>
  </si>
  <si>
    <t>MMBTU/ 10E+03 gallons</t>
  </si>
  <si>
    <t>041-0029-9-0024</t>
  </si>
  <si>
    <t>041-0029-9-0025</t>
  </si>
  <si>
    <t>041-0029-9-0026</t>
  </si>
  <si>
    <t>041-0029-9-0027</t>
  </si>
  <si>
    <t>041-0029-9-0028</t>
  </si>
  <si>
    <t>041-0029-9-0029</t>
  </si>
  <si>
    <t>041-0029-9-0030</t>
  </si>
  <si>
    <t>041-0029-9-0031</t>
  </si>
  <si>
    <t>041-0029-9-0032</t>
  </si>
  <si>
    <t>Easton Utility-Airport Park</t>
  </si>
  <si>
    <t>041-0069-4-0101</t>
  </si>
  <si>
    <t>Solar Turbines 
Taurus T-60;52.02</t>
  </si>
  <si>
    <t>Btu/gallon</t>
  </si>
  <si>
    <t>041-0069-4-0102</t>
  </si>
  <si>
    <t>Solar Turbines 
Taurus T-60-780;52 M</t>
  </si>
  <si>
    <t>041-0069-9-0033</t>
  </si>
  <si>
    <t>Diesel Gen</t>
  </si>
  <si>
    <t>041-0069-9-0034</t>
  </si>
  <si>
    <t>041-0069-9-0035</t>
  </si>
  <si>
    <t>041-0069-9-0036</t>
  </si>
  <si>
    <t>041-0069-9-0037</t>
  </si>
  <si>
    <t>041-0069-9-0038</t>
  </si>
  <si>
    <t>Berlin Town Power Plant</t>
  </si>
  <si>
    <t>9-0028</t>
  </si>
  <si>
    <t>EMD Diesel Gen -3600 HP</t>
  </si>
  <si>
    <t>9-0029</t>
  </si>
  <si>
    <t>FM Diesel Gen -1600HP</t>
  </si>
  <si>
    <t>9-0031</t>
  </si>
  <si>
    <t>Mistsu. Diesel Gen -2829 HP</t>
  </si>
  <si>
    <t>9-0032</t>
  </si>
  <si>
    <t>9-0033</t>
  </si>
  <si>
    <t>Distillate Fuel Oil Total</t>
  </si>
  <si>
    <t>NON-RGGI RESIDUAL OIL COMBUSTION BY UNIT</t>
  </si>
  <si>
    <t># 6 Fuel Oil</t>
  </si>
  <si>
    <t># 6 Fuel Oil Total</t>
  </si>
  <si>
    <t>Residual Fuel Oil Total</t>
  </si>
  <si>
    <t>NON-RGGI NATURAL GAS COMBUSTION BY UNIT</t>
  </si>
  <si>
    <t xml:space="preserve">CPSG- Notch Cliff </t>
  </si>
  <si>
    <t>9-1094</t>
  </si>
  <si>
    <t>scf</t>
  </si>
  <si>
    <t>MMBTU/ 1 E+06 scf</t>
  </si>
  <si>
    <t>9-1095</t>
  </si>
  <si>
    <t>9-1096</t>
  </si>
  <si>
    <t>9-1097</t>
  </si>
  <si>
    <t>9-1098</t>
  </si>
  <si>
    <t>Unit 5 CT</t>
  </si>
  <si>
    <t>9-1099</t>
  </si>
  <si>
    <t>Unit 6 CT</t>
  </si>
  <si>
    <t>9-1100</t>
  </si>
  <si>
    <t>Unit 7 CT</t>
  </si>
  <si>
    <t>9-1101</t>
  </si>
  <si>
    <t>Unit 8 CT</t>
  </si>
  <si>
    <t>Natural Gas Total</t>
  </si>
  <si>
    <t>ELECTRIC POWER SECTOR</t>
  </si>
  <si>
    <t>CO2 EMISSION SUMMARY: NON-RGGI ALL UNITS</t>
  </si>
  <si>
    <t>Combustion</t>
  </si>
  <si>
    <t>(lbs C/Million Btu)</t>
  </si>
  <si>
    <t>Efficiency (%)</t>
  </si>
  <si>
    <t>(short tons carbon)</t>
  </si>
  <si>
    <r>
      <rPr>
        <b/>
        <sz val="10"/>
        <color rgb="FF000000"/>
        <rFont val="Calibri"/>
      </rPr>
      <t>(short tons CO</t>
    </r>
    <r>
      <rPr>
        <b/>
        <vertAlign val="subscript"/>
        <sz val="10"/>
        <color rgb="FF000000"/>
        <rFont val="Calibri"/>
      </rPr>
      <t>2</t>
    </r>
    <r>
      <rPr>
        <b/>
        <sz val="10"/>
        <color rgb="FF000000"/>
        <rFont val="Calibri"/>
      </rPr>
      <t xml:space="preserve"> )</t>
    </r>
  </si>
  <si>
    <r>
      <rPr>
        <b/>
        <sz val="10"/>
        <color rgb="FF000000"/>
        <rFont val="Calibri"/>
      </rPr>
      <t>(metric tons CO</t>
    </r>
    <r>
      <rPr>
        <b/>
        <vertAlign val="subscript"/>
        <sz val="10"/>
        <color rgb="FF000000"/>
        <rFont val="Calibri"/>
      </rPr>
      <t>2</t>
    </r>
    <r>
      <rPr>
        <b/>
        <sz val="10"/>
        <color rgb="FF000000"/>
        <rFont val="Calibri"/>
      </rPr>
      <t xml:space="preserve"> )</t>
    </r>
  </si>
  <si>
    <r>
      <rPr>
        <b/>
        <sz val="10"/>
        <color rgb="FF000000"/>
        <rFont val="Calibri"/>
      </rPr>
      <t>(MMTCO</t>
    </r>
    <r>
      <rPr>
        <b/>
        <vertAlign val="subscript"/>
        <sz val="10"/>
        <color rgb="FF000000"/>
        <rFont val="Calibri"/>
      </rPr>
      <t>2</t>
    </r>
    <r>
      <rPr>
        <b/>
        <sz val="10"/>
        <color rgb="FF000000"/>
        <rFont val="Calibri"/>
      </rPr>
      <t xml:space="preserve"> E )</t>
    </r>
  </si>
  <si>
    <t>(MMTCE )</t>
  </si>
  <si>
    <t xml:space="preserve">                                                                                                                                                                Total</t>
  </si>
  <si>
    <t>CH4 EMISSION SUMMARY: NON-RGGI ALL UNITS</t>
  </si>
  <si>
    <r>
      <rPr>
        <b/>
        <sz val="10"/>
        <color theme="1"/>
        <rFont val="Calibri"/>
      </rPr>
      <t>(MMTCO</t>
    </r>
    <r>
      <rPr>
        <b/>
        <vertAlign val="subscript"/>
        <sz val="10"/>
        <color theme="1"/>
        <rFont val="Calibri"/>
      </rPr>
      <t>2</t>
    </r>
    <r>
      <rPr>
        <b/>
        <sz val="10"/>
        <color theme="1"/>
        <rFont val="Calibri"/>
      </rPr>
      <t>E)</t>
    </r>
  </si>
  <si>
    <t>N2O EMISSION SUMMARY: NON-RGGI ALL UNITS</t>
  </si>
  <si>
    <r>
      <rPr>
        <b/>
        <sz val="10"/>
        <color theme="1"/>
        <rFont val="Calibri"/>
      </rPr>
      <t>(MMTCO</t>
    </r>
    <r>
      <rPr>
        <b/>
        <vertAlign val="subscript"/>
        <sz val="10"/>
        <color theme="1"/>
        <rFont val="Calibri"/>
      </rPr>
      <t>2</t>
    </r>
    <r>
      <rPr>
        <b/>
        <sz val="10"/>
        <color theme="1"/>
        <rFont val="Calibri"/>
      </rPr>
      <t>E)</t>
    </r>
  </si>
  <si>
    <t xml:space="preserve">                                                                                                                                                             Total</t>
  </si>
  <si>
    <t>GHG EMISSION SUMMARY: NON-RGGI ALL UNITS</t>
  </si>
  <si>
    <r>
      <rPr>
        <b/>
        <sz val="10"/>
        <color theme="1"/>
        <rFont val="Calibri"/>
      </rPr>
      <t>CO</t>
    </r>
    <r>
      <rPr>
        <b/>
        <vertAlign val="subscript"/>
        <sz val="10"/>
        <color theme="1"/>
        <rFont val="Calibri"/>
      </rPr>
      <t>2</t>
    </r>
  </si>
  <si>
    <r>
      <rPr>
        <b/>
        <sz val="10"/>
        <color theme="1"/>
        <rFont val="Calibri"/>
      </rPr>
      <t>N</t>
    </r>
    <r>
      <rPr>
        <b/>
        <vertAlign val="subscript"/>
        <sz val="10"/>
        <color theme="1"/>
        <rFont val="Calibri"/>
      </rPr>
      <t>2</t>
    </r>
    <r>
      <rPr>
        <b/>
        <sz val="10"/>
        <color theme="1"/>
        <rFont val="Calibri"/>
      </rPr>
      <t>O</t>
    </r>
  </si>
  <si>
    <r>
      <rPr>
        <b/>
        <sz val="10"/>
        <color theme="1"/>
        <rFont val="Calibri"/>
      </rPr>
      <t>CH</t>
    </r>
    <r>
      <rPr>
        <b/>
        <vertAlign val="subscript"/>
        <sz val="10"/>
        <color theme="1"/>
        <rFont val="Calibri"/>
      </rPr>
      <t>4</t>
    </r>
  </si>
  <si>
    <r>
      <rPr>
        <b/>
        <sz val="10"/>
        <color theme="1"/>
        <rFont val="Calibri"/>
      </rPr>
      <t>(MMTCO</t>
    </r>
    <r>
      <rPr>
        <b/>
        <vertAlign val="subscript"/>
        <sz val="10"/>
        <color theme="1"/>
        <rFont val="Calibri"/>
      </rPr>
      <t>2</t>
    </r>
    <r>
      <rPr>
        <b/>
        <sz val="10"/>
        <color theme="1"/>
        <rFont val="Calibri"/>
      </rPr>
      <t>E)</t>
    </r>
  </si>
  <si>
    <r>
      <rPr>
        <b/>
        <sz val="10"/>
        <color theme="1"/>
        <rFont val="Calibri"/>
      </rPr>
      <t>(MMTCO</t>
    </r>
    <r>
      <rPr>
        <b/>
        <vertAlign val="subscript"/>
        <sz val="10"/>
        <color theme="1"/>
        <rFont val="Calibri"/>
      </rPr>
      <t>2</t>
    </r>
    <r>
      <rPr>
        <b/>
        <sz val="10"/>
        <color theme="1"/>
        <rFont val="Calibri"/>
      </rPr>
      <t>E)</t>
    </r>
  </si>
  <si>
    <r>
      <rPr>
        <b/>
        <sz val="10"/>
        <color theme="1"/>
        <rFont val="Calibri"/>
      </rPr>
      <t>(MMTCO</t>
    </r>
    <r>
      <rPr>
        <b/>
        <vertAlign val="subscript"/>
        <sz val="10"/>
        <color theme="1"/>
        <rFont val="Calibri"/>
      </rPr>
      <t>2</t>
    </r>
    <r>
      <rPr>
        <b/>
        <sz val="10"/>
        <color theme="1"/>
        <rFont val="Calibri"/>
      </rPr>
      <t>E)</t>
    </r>
  </si>
  <si>
    <r>
      <rPr>
        <b/>
        <sz val="10"/>
        <color theme="1"/>
        <rFont val="Calibri"/>
      </rPr>
      <t>(MMTCO</t>
    </r>
    <r>
      <rPr>
        <b/>
        <vertAlign val="subscript"/>
        <sz val="10"/>
        <color theme="1"/>
        <rFont val="Calibri"/>
      </rPr>
      <t>2</t>
    </r>
    <r>
      <rPr>
        <b/>
        <sz val="10"/>
        <color theme="1"/>
        <rFont val="Calibri"/>
      </rPr>
      <t>E)</t>
    </r>
  </si>
  <si>
    <t>Projected Electric Consumption (Imported Electricity) Emissions for Maryland</t>
  </si>
  <si>
    <t>Fuel Consumption For Electricity Generation</t>
  </si>
  <si>
    <t>Coal (Short Tons)</t>
  </si>
  <si>
    <t>Petroleum (Barrels)</t>
  </si>
  <si>
    <t>Natural Gas (Mcf)</t>
  </si>
  <si>
    <t>Other Gases (MMBTU)</t>
  </si>
  <si>
    <t xml:space="preserve"> MD In-State Gross Generation (MWh)</t>
  </si>
  <si>
    <t>Other Gases</t>
  </si>
  <si>
    <t>Nuclear</t>
  </si>
  <si>
    <t>Hydroelectric Conventional</t>
  </si>
  <si>
    <t>Wood and Wood Derived Fuels</t>
  </si>
  <si>
    <t>Other Biomass</t>
  </si>
  <si>
    <t>Other</t>
  </si>
  <si>
    <t>MD -Electricity Losses (MWh) (Transmission and Distribution) Assume 6.25 %</t>
  </si>
  <si>
    <t>T &amp;D Losses</t>
  </si>
  <si>
    <r>
      <rPr>
        <b/>
        <sz val="10"/>
        <color theme="1"/>
        <rFont val="Open Sans"/>
      </rPr>
      <t xml:space="preserve"> </t>
    </r>
    <r>
      <rPr>
        <b/>
        <sz val="10"/>
        <color rgb="FF339966"/>
        <rFont val="MS Sans Serif"/>
      </rPr>
      <t>Net MD In-State Electricity Generated (MWh)</t>
    </r>
    <r>
      <rPr>
        <b/>
        <sz val="10"/>
        <color theme="1"/>
        <rFont val="MS Sans Serif"/>
      </rPr>
      <t xml:space="preserve"> =</t>
    </r>
    <r>
      <rPr>
        <b/>
        <sz val="10"/>
        <color rgb="FF0000FF"/>
        <rFont val="MS Sans Serif"/>
      </rPr>
      <t xml:space="preserve"> </t>
    </r>
    <r>
      <rPr>
        <sz val="10"/>
        <color rgb="FF0000FF"/>
        <rFont val="MS Sans Serif"/>
      </rPr>
      <t>MD Gross In-State Electricity Generated</t>
    </r>
    <r>
      <rPr>
        <sz val="10"/>
        <color theme="1"/>
        <rFont val="MS Sans Serif"/>
      </rPr>
      <t xml:space="preserve"> - </t>
    </r>
    <r>
      <rPr>
        <sz val="10"/>
        <color rgb="FFFF0000"/>
        <rFont val="MS Sans Serif"/>
      </rPr>
      <t>T &amp;D Losses</t>
    </r>
  </si>
  <si>
    <t>Net In -State Generated Electricity</t>
  </si>
  <si>
    <t>Electricity Consumption (MWh) (MD Retail Sales)</t>
  </si>
  <si>
    <t>Residential</t>
  </si>
  <si>
    <t>Commercial</t>
  </si>
  <si>
    <t>Industrial</t>
  </si>
  <si>
    <t>Transportation</t>
  </si>
  <si>
    <t>Others</t>
  </si>
  <si>
    <t>Total Electric Consumption (Mwh) NET</t>
  </si>
  <si>
    <t>Total Electric Consumption (Mwh) GROSS</t>
  </si>
  <si>
    <r>
      <rPr>
        <b/>
        <sz val="10"/>
        <color theme="1"/>
        <rFont val="Open Sans"/>
      </rPr>
      <t xml:space="preserve">Electricity Imported (MWh) = </t>
    </r>
    <r>
      <rPr>
        <sz val="10"/>
        <color rgb="FF993366"/>
        <rFont val="MS Sans Serif"/>
      </rPr>
      <t>MD Retail Sales</t>
    </r>
    <r>
      <rPr>
        <sz val="10"/>
        <color theme="1"/>
        <rFont val="MS Sans Serif"/>
      </rPr>
      <t xml:space="preserve"> - </t>
    </r>
    <r>
      <rPr>
        <sz val="10"/>
        <color rgb="FF339966"/>
        <rFont val="MS Sans Serif"/>
      </rPr>
      <t>Net In-state Generation</t>
    </r>
  </si>
  <si>
    <t>Gross Imported Electricity to Meet MD Demand (MWh)</t>
  </si>
  <si>
    <t>GHG Associated with Imported Electricity</t>
  </si>
  <si>
    <r>
      <rPr>
        <b/>
        <sz val="10"/>
        <color theme="1"/>
        <rFont val="Open Sans"/>
      </rPr>
      <t>PJM</t>
    </r>
    <r>
      <rPr>
        <sz val="10"/>
        <color theme="1"/>
        <rFont val="Arial"/>
      </rPr>
      <t xml:space="preserve"> Average CO</t>
    </r>
    <r>
      <rPr>
        <vertAlign val="subscript"/>
        <sz val="10"/>
        <color theme="1"/>
        <rFont val="MS Sans Serif"/>
      </rPr>
      <t>2</t>
    </r>
    <r>
      <rPr>
        <sz val="10"/>
        <color theme="1"/>
        <rFont val="Arial"/>
      </rPr>
      <t xml:space="preserve"> Emission Rate (lbs/MWh)</t>
    </r>
  </si>
  <si>
    <r>
      <rPr>
        <sz val="8"/>
        <color theme="1"/>
        <rFont val="Calibri"/>
      </rPr>
      <t>CO</t>
    </r>
    <r>
      <rPr>
        <vertAlign val="subscript"/>
        <sz val="10"/>
        <color theme="1"/>
        <rFont val="MS Sans Serif"/>
      </rPr>
      <t>2</t>
    </r>
    <r>
      <rPr>
        <sz val="10"/>
        <color theme="1"/>
        <rFont val="Arial"/>
      </rPr>
      <t xml:space="preserve"> Emission</t>
    </r>
  </si>
  <si>
    <r>
      <rPr>
        <sz val="8"/>
        <color theme="1"/>
        <rFont val="Calibri"/>
      </rPr>
      <t>(CO</t>
    </r>
    <r>
      <rPr>
        <vertAlign val="subscript"/>
        <sz val="10"/>
        <color theme="1"/>
        <rFont val="MS Sans Serif"/>
      </rPr>
      <t>2</t>
    </r>
    <r>
      <rPr>
        <sz val="10"/>
        <color theme="1"/>
        <rFont val="Arial"/>
      </rPr>
      <t xml:space="preserve"> Emission Rate of Marginal Units)</t>
    </r>
  </si>
  <si>
    <t>Oil</t>
  </si>
  <si>
    <t>Hydroelectric</t>
  </si>
  <si>
    <t>Solid Waste</t>
  </si>
  <si>
    <t>Wind</t>
  </si>
  <si>
    <r>
      <rPr>
        <b/>
        <sz val="8"/>
        <color theme="1"/>
        <rFont val="Open Sans"/>
      </rPr>
      <t>Captured CH</t>
    </r>
    <r>
      <rPr>
        <b/>
        <vertAlign val="subscript"/>
        <sz val="8"/>
        <color theme="1"/>
        <rFont val="MS Sans Serif"/>
      </rPr>
      <t>4</t>
    </r>
  </si>
  <si>
    <t>PJM Electricity Generation Fuel Mix 2006</t>
  </si>
  <si>
    <t>Maryland 2006  Import Share (MWh)</t>
  </si>
  <si>
    <r>
      <rPr>
        <sz val="8"/>
        <color theme="1"/>
        <rFont val="Arial"/>
      </rPr>
      <t>Imported Electric CO</t>
    </r>
    <r>
      <rPr>
        <vertAlign val="subscript"/>
        <sz val="10"/>
        <color theme="1"/>
        <rFont val="MS Sans Serif"/>
      </rPr>
      <t>2</t>
    </r>
    <r>
      <rPr>
        <sz val="10"/>
        <color theme="1"/>
        <rFont val="Arial"/>
      </rPr>
      <t xml:space="preserve"> Emissions Factors (tons/MWh)</t>
    </r>
  </si>
  <si>
    <r>
      <rPr>
        <sz val="8"/>
        <color theme="1"/>
        <rFont val="Arial"/>
      </rPr>
      <t>Imported Electric CO</t>
    </r>
    <r>
      <rPr>
        <vertAlign val="subscript"/>
        <sz val="10"/>
        <color theme="1"/>
        <rFont val="MS Sans Serif"/>
      </rPr>
      <t>2</t>
    </r>
    <r>
      <rPr>
        <sz val="10"/>
        <color theme="1"/>
        <rFont val="Arial"/>
      </rPr>
      <t xml:space="preserve"> Emissions (metric tons)</t>
    </r>
  </si>
  <si>
    <r>
      <rPr>
        <sz val="8"/>
        <color theme="1"/>
        <rFont val="Arial"/>
      </rPr>
      <t>Imported Electric CO</t>
    </r>
    <r>
      <rPr>
        <vertAlign val="subscript"/>
        <sz val="10"/>
        <color theme="1"/>
        <rFont val="MS Sans Serif"/>
      </rPr>
      <t>2</t>
    </r>
    <r>
      <rPr>
        <sz val="10"/>
        <color theme="1"/>
        <rFont val="Arial"/>
      </rPr>
      <t xml:space="preserve"> Emissions (MMTCO</t>
    </r>
    <r>
      <rPr>
        <vertAlign val="subscript"/>
        <sz val="10"/>
        <color theme="1"/>
        <rFont val="MS Sans Serif"/>
      </rPr>
      <t>2</t>
    </r>
    <r>
      <rPr>
        <sz val="10"/>
        <color theme="1"/>
        <rFont val="Arial"/>
      </rPr>
      <t>)</t>
    </r>
  </si>
  <si>
    <r>
      <rPr>
        <b/>
        <sz val="10"/>
        <color theme="1"/>
        <rFont val="Open Sans"/>
      </rPr>
      <t xml:space="preserve"> Imported Electricity Emissions  (MMTCO</t>
    </r>
    <r>
      <rPr>
        <b/>
        <vertAlign val="subscript"/>
        <sz val="10"/>
        <color theme="1"/>
        <rFont val="MS Sans Serif"/>
      </rPr>
      <t>2</t>
    </r>
    <r>
      <rPr>
        <b/>
        <sz val="10"/>
        <color theme="1"/>
        <rFont val="MS Sans Serif"/>
      </rPr>
      <t>E)</t>
    </r>
  </si>
  <si>
    <t>Transportation Consumption and GHG Emissions</t>
  </si>
  <si>
    <t>Activity Data (Consumption)</t>
  </si>
  <si>
    <t xml:space="preserve"> State Energy Data  2006</t>
  </si>
  <si>
    <t>(Barrels)</t>
  </si>
  <si>
    <t>(Gallons)</t>
  </si>
  <si>
    <t xml:space="preserve">Aviation Gasoline </t>
  </si>
  <si>
    <t xml:space="preserve">Distillate Fuel  Oil </t>
  </si>
  <si>
    <t xml:space="preserve">Jet Fuel Naphtha </t>
  </si>
  <si>
    <t xml:space="preserve">Jet Fuel Kerosene Type </t>
  </si>
  <si>
    <t>Liquidfied Petroleum Gases</t>
  </si>
  <si>
    <t xml:space="preserve">Lubricant </t>
  </si>
  <si>
    <t>Motor Gasoline</t>
  </si>
  <si>
    <t>Ethanol</t>
  </si>
  <si>
    <t>Natural Gases -  (Million Cubic Feet)</t>
  </si>
  <si>
    <t>Residual Fuel Oil</t>
  </si>
  <si>
    <t xml:space="preserve">                                                     Gasoline Fuel Usage</t>
  </si>
  <si>
    <t>Source</t>
  </si>
  <si>
    <t>Subsource</t>
  </si>
  <si>
    <t>Vehicle / Fuel Type</t>
  </si>
  <si>
    <t>Amount
(gal)</t>
  </si>
  <si>
    <t>Percentage</t>
  </si>
  <si>
    <t>Percentage of NR Gasoline</t>
  </si>
  <si>
    <t>FHWA Data MF-24</t>
  </si>
  <si>
    <t>Farm Equipment</t>
  </si>
  <si>
    <t>Gasoline Tractor</t>
  </si>
  <si>
    <t>Construction</t>
  </si>
  <si>
    <t>Gasoline Construction</t>
  </si>
  <si>
    <t>Non-Highway Industrial</t>
  </si>
  <si>
    <t>Gasoline HD Utility</t>
  </si>
  <si>
    <t>Gasoline Small Utility</t>
  </si>
  <si>
    <t>Boat (Marine Gasoline)</t>
  </si>
  <si>
    <t>Gasoline</t>
  </si>
  <si>
    <t>MD Comptroller</t>
  </si>
  <si>
    <t>Motor Gasoline (Total Sold)</t>
  </si>
  <si>
    <t>Motor Gasoline (On-Road Mobile)</t>
  </si>
  <si>
    <t>Motor Gasoline (Non-Road Mobile)</t>
  </si>
  <si>
    <t xml:space="preserve">                                           Diesel Fuel Usage</t>
  </si>
  <si>
    <t>Percentage of NR Diesel</t>
  </si>
  <si>
    <t>EIA Adjusted Sales Data</t>
  </si>
  <si>
    <t>Diesel Tractor</t>
  </si>
  <si>
    <t>FHWA Data MF-24 (Allocated from Gasoline Construction State Percent)</t>
  </si>
  <si>
    <t>Diesel Construction</t>
  </si>
  <si>
    <t>EIA State Energy Data</t>
  </si>
  <si>
    <t>Diesel HD Utility</t>
  </si>
  <si>
    <t>MDE Survey</t>
  </si>
  <si>
    <t>Locomotive</t>
  </si>
  <si>
    <t>Diesel Fuel</t>
  </si>
  <si>
    <t>Boat (Marine)</t>
  </si>
  <si>
    <t>Distillate Fuel Oil**</t>
  </si>
  <si>
    <t>Distillate Fuel  Oil</t>
  </si>
  <si>
    <t>Calculated</t>
  </si>
  <si>
    <t>Motor Diesel (On-Road)</t>
  </si>
  <si>
    <t>Motor Diesel (Non-Road)</t>
  </si>
  <si>
    <t>Diesel (gallons)</t>
  </si>
  <si>
    <t>Residual Fuel Oil**</t>
  </si>
  <si>
    <t>Residual Fuel (gallons)</t>
  </si>
  <si>
    <t>CONSTANTS</t>
  </si>
  <si>
    <t>Btu/Gallon</t>
  </si>
  <si>
    <t>Diesel</t>
  </si>
  <si>
    <t>Emissions Data (MMTCO2e)</t>
  </si>
  <si>
    <t>Transportation Sector Emissions: Non-Road Mobile Sources  2006</t>
  </si>
  <si>
    <t>CO2 Emissions</t>
  </si>
  <si>
    <t>N2O Emissions</t>
  </si>
  <si>
    <t>CH4 Emissions</t>
  </si>
  <si>
    <t>CH4 &amp;</t>
  </si>
  <si>
    <t>(gallon)</t>
  </si>
  <si>
    <t>(MMTCE)</t>
  </si>
  <si>
    <r>
      <rPr>
        <b/>
        <sz val="10"/>
        <color theme="1"/>
        <rFont val="Calibri"/>
      </rPr>
      <t>(MMTCO</t>
    </r>
    <r>
      <rPr>
        <b/>
        <vertAlign val="subscript"/>
        <sz val="10"/>
        <color theme="1"/>
        <rFont val="Calibri"/>
      </rPr>
      <t>2</t>
    </r>
    <r>
      <rPr>
        <b/>
        <sz val="10"/>
        <color theme="1"/>
        <rFont val="Calibri"/>
      </rPr>
      <t>E)</t>
    </r>
  </si>
  <si>
    <t>Energy Content
kg/MBtu</t>
  </si>
  <si>
    <t>Density
kg/gallon</t>
  </si>
  <si>
    <t>N2O EF
g/kg fuel</t>
  </si>
  <si>
    <t>N2O EM
Gigagrams</t>
  </si>
  <si>
    <t>N2O
MTCE</t>
  </si>
  <si>
    <t>N2O
MTCO2E</t>
  </si>
  <si>
    <t>CH4 EF
g/kg fuel</t>
  </si>
  <si>
    <t>CH4 EM
Gigagrams</t>
  </si>
  <si>
    <t>CH4
MTCE</t>
  </si>
  <si>
    <t>CH4
MTCO2E</t>
  </si>
  <si>
    <t>TOTAL
MTCO2E</t>
  </si>
  <si>
    <t>Aviation Gasoline</t>
  </si>
  <si>
    <t>Distillate Fuel - Farm</t>
  </si>
  <si>
    <t>Distillate Fuel - Construction</t>
  </si>
  <si>
    <t>Distillate Fuel - Ind HD Diesel</t>
  </si>
  <si>
    <t>Distillate Fuel - Locomotive</t>
  </si>
  <si>
    <t>Distillate Fuel - Marine</t>
  </si>
  <si>
    <t>Jet Fuel, Kerosene</t>
  </si>
  <si>
    <t>Jet Fuel, Naphtha</t>
  </si>
  <si>
    <t>LPG</t>
  </si>
  <si>
    <t>Motor Gasoline - Farm</t>
  </si>
  <si>
    <t>Motor Gasoline - Construction</t>
  </si>
  <si>
    <t>Motor Gasoline - Ind HD Utility</t>
  </si>
  <si>
    <t>Motor Gasoline - Ind Small Utility</t>
  </si>
  <si>
    <t>Motor Gasoline - Marine</t>
  </si>
  <si>
    <t xml:space="preserve">Non-Energy </t>
  </si>
  <si>
    <t xml:space="preserve">Net combustible </t>
  </si>
  <si>
    <t>Storage Factor (%)</t>
  </si>
  <si>
    <r>
      <rPr>
        <b/>
        <sz val="10"/>
        <color theme="1"/>
        <rFont val="Calibri"/>
      </rPr>
      <t>(MMTCO</t>
    </r>
    <r>
      <rPr>
        <b/>
        <vertAlign val="subscript"/>
        <sz val="10"/>
        <color theme="1"/>
        <rFont val="Calibri"/>
      </rPr>
      <t>2</t>
    </r>
    <r>
      <rPr>
        <b/>
        <sz val="10"/>
        <color theme="1"/>
        <rFont val="Calibri"/>
      </rPr>
      <t>E)</t>
    </r>
  </si>
  <si>
    <t>Lubricants</t>
  </si>
  <si>
    <t>International Bunker Fuels</t>
  </si>
  <si>
    <r>
      <rPr>
        <b/>
        <sz val="7"/>
        <color theme="1"/>
        <rFont val="Comic Sans MS"/>
      </rPr>
      <t>(MMTCO</t>
    </r>
    <r>
      <rPr>
        <b/>
        <vertAlign val="subscript"/>
        <sz val="7"/>
        <color theme="1"/>
        <rFont val="Comic Sans MS"/>
      </rPr>
      <t>2</t>
    </r>
    <r>
      <rPr>
        <b/>
        <sz val="7"/>
        <color theme="1"/>
        <rFont val="Comic Sans MS"/>
      </rPr>
      <t>E)</t>
    </r>
  </si>
  <si>
    <t>Transportation Sector: On-Road Mobile Sources  2006</t>
  </si>
  <si>
    <t>VMT (Millions)</t>
  </si>
  <si>
    <t>CO2e</t>
  </si>
  <si>
    <t>TOTAL</t>
  </si>
  <si>
    <t>By Fuel Type</t>
  </si>
  <si>
    <t>By MOVES Vehicle Type</t>
  </si>
  <si>
    <t>Motorcycle</t>
  </si>
  <si>
    <t>Passenger Car</t>
  </si>
  <si>
    <t>Passenger Truck</t>
  </si>
  <si>
    <t>Light Commercial Truck</t>
  </si>
  <si>
    <t>Intercity Bus</t>
  </si>
  <si>
    <t>Transit Bus</t>
  </si>
  <si>
    <t>School Bus</t>
  </si>
  <si>
    <t>Refuse Truck</t>
  </si>
  <si>
    <t>Single Unit Short-haul Truck</t>
  </si>
  <si>
    <t>Single Unit Long-haul Truck</t>
  </si>
  <si>
    <t>Motor Home</t>
  </si>
  <si>
    <t>Combination Short-haul Truck</t>
  </si>
  <si>
    <t>Combination Long-haul Truck</t>
  </si>
  <si>
    <t>Scenario</t>
  </si>
  <si>
    <t>MOVES2010a Output</t>
  </si>
  <si>
    <r>
      <rPr>
        <b/>
        <sz val="10"/>
        <color rgb="FFFFFFFF"/>
        <rFont val="Calibri"/>
      </rPr>
      <t>Actual Statewide               Fuel Sales</t>
    </r>
    <r>
      <rPr>
        <b/>
        <vertAlign val="superscript"/>
        <sz val="10"/>
        <color rgb="FFFFFFFF"/>
        <rFont val="Calibri"/>
      </rPr>
      <t xml:space="preserve">2                                              </t>
    </r>
    <r>
      <rPr>
        <b/>
        <i/>
        <sz val="10"/>
        <color rgb="FFFFFFFF"/>
        <rFont val="Calibri"/>
      </rPr>
      <t>(Thousand gallons)</t>
    </r>
  </si>
  <si>
    <r>
      <rPr>
        <b/>
        <sz val="10"/>
        <color rgb="FFFFFFFF"/>
        <rFont val="Calibri"/>
      </rPr>
      <t xml:space="preserve">Energy Consumption </t>
    </r>
    <r>
      <rPr>
        <b/>
        <i/>
        <sz val="10"/>
        <color rgb="FFFFFFFF"/>
        <rFont val="Calibri"/>
      </rPr>
      <t>(Trillion BTU)</t>
    </r>
  </si>
  <si>
    <r>
      <rPr>
        <b/>
        <sz val="10"/>
        <color rgb="FFFFFFFF"/>
        <rFont val="Calibri"/>
      </rPr>
      <t>Estimated Fuel Consumption</t>
    </r>
    <r>
      <rPr>
        <b/>
        <vertAlign val="superscript"/>
        <sz val="10"/>
        <color rgb="FFFFFFFF"/>
        <rFont val="Calibri"/>
      </rPr>
      <t xml:space="preserve">1  </t>
    </r>
    <r>
      <rPr>
        <b/>
        <i/>
        <sz val="10"/>
        <color rgb="FFFFFFFF"/>
        <rFont val="Calibri"/>
      </rPr>
      <t>(Thousand Gallons)</t>
    </r>
  </si>
  <si>
    <t>2020 BAU</t>
  </si>
  <si>
    <t>-----</t>
  </si>
  <si>
    <t>Residential Consumption and CO2 Emissions in Maryland</t>
  </si>
  <si>
    <r>
      <rPr>
        <sz val="14"/>
        <color theme="1"/>
        <rFont val="Comic Sans MS"/>
      </rPr>
      <t>Residential Sector CO</t>
    </r>
    <r>
      <rPr>
        <vertAlign val="subscript"/>
        <sz val="14"/>
        <color theme="1"/>
        <rFont val="Comic Sans MS"/>
      </rPr>
      <t>2</t>
    </r>
  </si>
  <si>
    <r>
      <rPr>
        <b/>
        <sz val="7"/>
        <color theme="1"/>
        <rFont val="Comic Sans MS"/>
      </rPr>
      <t>(MMTCO</t>
    </r>
    <r>
      <rPr>
        <b/>
        <vertAlign val="subscript"/>
        <sz val="7"/>
        <color theme="1"/>
        <rFont val="Comic Sans MS"/>
      </rPr>
      <t>2</t>
    </r>
    <r>
      <rPr>
        <b/>
        <sz val="7"/>
        <color theme="1"/>
        <rFont val="Comic Sans MS"/>
      </rPr>
      <t>E)</t>
    </r>
  </si>
  <si>
    <r>
      <rPr>
        <sz val="14"/>
        <color theme="1"/>
        <rFont val="Comic Sans MS"/>
      </rPr>
      <t>Residential Sector N</t>
    </r>
    <r>
      <rPr>
        <vertAlign val="subscript"/>
        <sz val="14"/>
        <color theme="1"/>
        <rFont val="Comic Sans MS"/>
      </rPr>
      <t>2</t>
    </r>
    <r>
      <rPr>
        <sz val="14"/>
        <color theme="1"/>
        <rFont val="Comic Sans MS"/>
      </rPr>
      <t>0</t>
    </r>
  </si>
  <si>
    <r>
      <rPr>
        <b/>
        <sz val="7"/>
        <color theme="1"/>
        <rFont val="Comic Sans MS"/>
      </rPr>
      <t>(metric tons N</t>
    </r>
    <r>
      <rPr>
        <b/>
        <vertAlign val="subscript"/>
        <sz val="7"/>
        <color theme="1"/>
        <rFont val="Comic Sans MS"/>
      </rPr>
      <t>2</t>
    </r>
    <r>
      <rPr>
        <b/>
        <sz val="7"/>
        <color theme="1"/>
        <rFont val="Comic Sans MS"/>
      </rPr>
      <t>O/BBtu)</t>
    </r>
  </si>
  <si>
    <r>
      <rPr>
        <b/>
        <sz val="7"/>
        <color theme="1"/>
        <rFont val="Comic Sans MS"/>
      </rPr>
      <t>(metric tons N</t>
    </r>
    <r>
      <rPr>
        <b/>
        <vertAlign val="subscript"/>
        <sz val="7"/>
        <color theme="1"/>
        <rFont val="Comic Sans MS"/>
      </rPr>
      <t>2</t>
    </r>
    <r>
      <rPr>
        <b/>
        <sz val="7"/>
        <color theme="1"/>
        <rFont val="Comic Sans MS"/>
      </rPr>
      <t>O)</t>
    </r>
  </si>
  <si>
    <r>
      <rPr>
        <b/>
        <sz val="7"/>
        <color theme="1"/>
        <rFont val="Comic Sans MS"/>
      </rPr>
      <t>(MMTCO</t>
    </r>
    <r>
      <rPr>
        <b/>
        <vertAlign val="subscript"/>
        <sz val="7"/>
        <color theme="1"/>
        <rFont val="Comic Sans MS"/>
      </rPr>
      <t>2</t>
    </r>
    <r>
      <rPr>
        <b/>
        <sz val="7"/>
        <color theme="1"/>
        <rFont val="Comic Sans MS"/>
      </rPr>
      <t>E)</t>
    </r>
  </si>
  <si>
    <t>Wood</t>
  </si>
  <si>
    <r>
      <rPr>
        <sz val="14"/>
        <color theme="1"/>
        <rFont val="Comic Sans MS"/>
      </rPr>
      <t>Residential Sector CH</t>
    </r>
    <r>
      <rPr>
        <vertAlign val="subscript"/>
        <sz val="14"/>
        <color theme="1"/>
        <rFont val="Comic Sans MS"/>
      </rPr>
      <t>4</t>
    </r>
  </si>
  <si>
    <r>
      <rPr>
        <b/>
        <sz val="7"/>
        <color theme="1"/>
        <rFont val="Comic Sans MS"/>
      </rPr>
      <t>(metric tons CH</t>
    </r>
    <r>
      <rPr>
        <b/>
        <vertAlign val="subscript"/>
        <sz val="7"/>
        <color theme="1"/>
        <rFont val="Comic Sans MS"/>
      </rPr>
      <t>4</t>
    </r>
    <r>
      <rPr>
        <b/>
        <sz val="7"/>
        <color theme="1"/>
        <rFont val="Comic Sans MS"/>
      </rPr>
      <t>)</t>
    </r>
  </si>
  <si>
    <t>(MMTCO2E)</t>
  </si>
  <si>
    <t xml:space="preserve">Residential Sector 2006 GHG Emissions </t>
  </si>
  <si>
    <r>
      <rPr>
        <b/>
        <sz val="8"/>
        <color theme="1"/>
        <rFont val="Arial"/>
      </rPr>
      <t>CO</t>
    </r>
    <r>
      <rPr>
        <b/>
        <vertAlign val="subscript"/>
        <sz val="8"/>
        <color theme="1"/>
        <rFont val="Arial"/>
      </rPr>
      <t>2</t>
    </r>
  </si>
  <si>
    <r>
      <rPr>
        <b/>
        <sz val="8"/>
        <color theme="1"/>
        <rFont val="Arial"/>
      </rPr>
      <t>N</t>
    </r>
    <r>
      <rPr>
        <b/>
        <vertAlign val="subscript"/>
        <sz val="8"/>
        <color theme="1"/>
        <rFont val="Arial"/>
      </rPr>
      <t>2</t>
    </r>
    <r>
      <rPr>
        <b/>
        <sz val="8"/>
        <color theme="1"/>
        <rFont val="Arial"/>
      </rPr>
      <t>O</t>
    </r>
  </si>
  <si>
    <r>
      <rPr>
        <b/>
        <sz val="8"/>
        <color theme="1"/>
        <rFont val="Arial"/>
      </rPr>
      <t>CH</t>
    </r>
    <r>
      <rPr>
        <b/>
        <vertAlign val="subscript"/>
        <sz val="8"/>
        <color theme="1"/>
        <rFont val="Arial"/>
      </rPr>
      <t>4</t>
    </r>
  </si>
  <si>
    <r>
      <rPr>
        <b/>
        <sz val="8"/>
        <color theme="1"/>
        <rFont val="Arial"/>
      </rPr>
      <t>(MMTCO</t>
    </r>
    <r>
      <rPr>
        <b/>
        <vertAlign val="subscript"/>
        <sz val="8"/>
        <color theme="1"/>
        <rFont val="Arial"/>
      </rPr>
      <t>2</t>
    </r>
    <r>
      <rPr>
        <b/>
        <sz val="8"/>
        <color theme="1"/>
        <rFont val="Arial"/>
      </rPr>
      <t>E)</t>
    </r>
  </si>
  <si>
    <r>
      <rPr>
        <b/>
        <sz val="8"/>
        <color theme="1"/>
        <rFont val="Arial"/>
      </rPr>
      <t>(MMTCO</t>
    </r>
    <r>
      <rPr>
        <b/>
        <vertAlign val="subscript"/>
        <sz val="8"/>
        <color theme="1"/>
        <rFont val="Arial"/>
      </rPr>
      <t>2</t>
    </r>
    <r>
      <rPr>
        <b/>
        <sz val="8"/>
        <color theme="1"/>
        <rFont val="Arial"/>
      </rPr>
      <t>E)</t>
    </r>
  </si>
  <si>
    <r>
      <rPr>
        <b/>
        <sz val="8"/>
        <color theme="1"/>
        <rFont val="Arial"/>
      </rPr>
      <t>(MMTCO</t>
    </r>
    <r>
      <rPr>
        <b/>
        <vertAlign val="subscript"/>
        <sz val="8"/>
        <color theme="1"/>
        <rFont val="Arial"/>
      </rPr>
      <t>2</t>
    </r>
    <r>
      <rPr>
        <b/>
        <sz val="8"/>
        <color theme="1"/>
        <rFont val="Arial"/>
      </rPr>
      <t>E)</t>
    </r>
  </si>
  <si>
    <r>
      <rPr>
        <b/>
        <sz val="8"/>
        <color theme="1"/>
        <rFont val="Arial"/>
      </rPr>
      <t>(MMTCO</t>
    </r>
    <r>
      <rPr>
        <b/>
        <vertAlign val="subscript"/>
        <sz val="8"/>
        <color theme="1"/>
        <rFont val="Arial"/>
      </rPr>
      <t>2</t>
    </r>
    <r>
      <rPr>
        <b/>
        <sz val="8"/>
        <color theme="1"/>
        <rFont val="Arial"/>
      </rPr>
      <t>E)</t>
    </r>
  </si>
  <si>
    <t>- Default state-level data derived from EIA’s State Energy Consumption, Price, and Expenditure Estimates (SEDS) 2007: Consumption Estimates (EIA 2009)  http://www.eia.doe.gov/emeu/states/_seds.html</t>
  </si>
  <si>
    <t>- Default state synthetic natural gas data obtained from Table 12 of EIA’s Historical Natural Gas Annual (EIA 2009), and Table 8 for Natural Gas Annual publications from 2001-2007 http://www.eia.doe.gov/oil_gas/natural_gas/data_publications/natural_gas_annual/nga.html</t>
  </si>
  <si>
    <t>Commercial Consumption and CO2 Emissions in Maryland</t>
  </si>
  <si>
    <r>
      <rPr>
        <sz val="14"/>
        <color theme="1"/>
        <rFont val="Comic Sans MS"/>
      </rPr>
      <t>Commercial Sector CO</t>
    </r>
    <r>
      <rPr>
        <vertAlign val="subscript"/>
        <sz val="14"/>
        <color theme="1"/>
        <rFont val="Comic Sans MS"/>
      </rPr>
      <t>2</t>
    </r>
  </si>
  <si>
    <r>
      <rPr>
        <b/>
        <sz val="7"/>
        <color theme="1"/>
        <rFont val="Comic Sans MS"/>
      </rPr>
      <t>(MMTCO</t>
    </r>
    <r>
      <rPr>
        <b/>
        <vertAlign val="subscript"/>
        <sz val="7"/>
        <color theme="1"/>
        <rFont val="Comic Sans MS"/>
      </rPr>
      <t>2</t>
    </r>
    <r>
      <rPr>
        <b/>
        <sz val="7"/>
        <color theme="1"/>
        <rFont val="Comic Sans MS"/>
      </rPr>
      <t>E)</t>
    </r>
  </si>
  <si>
    <r>
      <rPr>
        <sz val="14"/>
        <color theme="1"/>
        <rFont val="Comic Sans MS"/>
      </rPr>
      <t>Commercial Sector N</t>
    </r>
    <r>
      <rPr>
        <vertAlign val="subscript"/>
        <sz val="14"/>
        <color theme="1"/>
        <rFont val="Comic Sans MS"/>
      </rPr>
      <t>2</t>
    </r>
    <r>
      <rPr>
        <sz val="14"/>
        <color theme="1"/>
        <rFont val="Comic Sans MS"/>
      </rPr>
      <t>O</t>
    </r>
  </si>
  <si>
    <r>
      <rPr>
        <b/>
        <sz val="7"/>
        <color theme="1"/>
        <rFont val="Comic Sans MS"/>
      </rPr>
      <t>(metric tons N</t>
    </r>
    <r>
      <rPr>
        <b/>
        <vertAlign val="subscript"/>
        <sz val="7"/>
        <color theme="1"/>
        <rFont val="Comic Sans MS"/>
      </rPr>
      <t>2</t>
    </r>
    <r>
      <rPr>
        <b/>
        <sz val="7"/>
        <color theme="1"/>
        <rFont val="Comic Sans MS"/>
      </rPr>
      <t>O/BBtu)</t>
    </r>
  </si>
  <si>
    <r>
      <rPr>
        <b/>
        <sz val="7"/>
        <color theme="1"/>
        <rFont val="Comic Sans MS"/>
      </rPr>
      <t>(metric tons N</t>
    </r>
    <r>
      <rPr>
        <b/>
        <vertAlign val="subscript"/>
        <sz val="7"/>
        <color theme="1"/>
        <rFont val="Comic Sans MS"/>
      </rPr>
      <t>2</t>
    </r>
    <r>
      <rPr>
        <b/>
        <sz val="7"/>
        <color theme="1"/>
        <rFont val="Comic Sans MS"/>
      </rPr>
      <t>O)</t>
    </r>
  </si>
  <si>
    <r>
      <rPr>
        <sz val="14"/>
        <color theme="1"/>
        <rFont val="Comic Sans MS"/>
      </rPr>
      <t>Commercial Sector CH</t>
    </r>
    <r>
      <rPr>
        <vertAlign val="subscript"/>
        <sz val="14"/>
        <color theme="1"/>
        <rFont val="Comic Sans MS"/>
      </rPr>
      <t>4</t>
    </r>
  </si>
  <si>
    <r>
      <rPr>
        <b/>
        <sz val="7"/>
        <color theme="1"/>
        <rFont val="Comic Sans MS"/>
      </rPr>
      <t>(MMTCO</t>
    </r>
    <r>
      <rPr>
        <b/>
        <vertAlign val="subscript"/>
        <sz val="7"/>
        <color theme="1"/>
        <rFont val="Comic Sans MS"/>
      </rPr>
      <t>2</t>
    </r>
    <r>
      <rPr>
        <b/>
        <sz val="7"/>
        <color theme="1"/>
        <rFont val="Comic Sans MS"/>
      </rPr>
      <t>E)</t>
    </r>
  </si>
  <si>
    <t>Commercial Sector 2006 GHG Emission</t>
  </si>
  <si>
    <r>
      <rPr>
        <b/>
        <sz val="10"/>
        <color theme="1"/>
        <rFont val="Arial"/>
      </rPr>
      <t>CO</t>
    </r>
    <r>
      <rPr>
        <b/>
        <vertAlign val="subscript"/>
        <sz val="10"/>
        <color theme="1"/>
        <rFont val="Arial"/>
      </rPr>
      <t>2</t>
    </r>
  </si>
  <si>
    <r>
      <rPr>
        <b/>
        <sz val="10"/>
        <color theme="1"/>
        <rFont val="Arial"/>
      </rPr>
      <t>CH</t>
    </r>
    <r>
      <rPr>
        <b/>
        <vertAlign val="subscript"/>
        <sz val="10"/>
        <color theme="1"/>
        <rFont val="Arial"/>
      </rPr>
      <t>4</t>
    </r>
  </si>
  <si>
    <r>
      <rPr>
        <b/>
        <sz val="10"/>
        <color theme="1"/>
        <rFont val="Arial"/>
      </rPr>
      <t>N</t>
    </r>
    <r>
      <rPr>
        <b/>
        <vertAlign val="subscript"/>
        <sz val="10"/>
        <color theme="1"/>
        <rFont val="Arial"/>
      </rPr>
      <t>2</t>
    </r>
    <r>
      <rPr>
        <b/>
        <sz val="10"/>
        <color theme="1"/>
        <rFont val="Arial"/>
      </rPr>
      <t>O</t>
    </r>
  </si>
  <si>
    <t>GHG</t>
  </si>
  <si>
    <r>
      <rPr>
        <b/>
        <sz val="7"/>
        <color theme="1"/>
        <rFont val="Comic Sans MS"/>
      </rPr>
      <t>(MMTCO</t>
    </r>
    <r>
      <rPr>
        <b/>
        <vertAlign val="subscript"/>
        <sz val="7"/>
        <color theme="1"/>
        <rFont val="Comic Sans MS"/>
      </rPr>
      <t>2</t>
    </r>
    <r>
      <rPr>
        <b/>
        <sz val="7"/>
        <color theme="1"/>
        <rFont val="Comic Sans MS"/>
      </rPr>
      <t>E)</t>
    </r>
  </si>
  <si>
    <r>
      <rPr>
        <b/>
        <sz val="7"/>
        <color theme="1"/>
        <rFont val="Comic Sans MS"/>
      </rPr>
      <t>(MMTCO</t>
    </r>
    <r>
      <rPr>
        <b/>
        <vertAlign val="subscript"/>
        <sz val="7"/>
        <color theme="1"/>
        <rFont val="Comic Sans MS"/>
      </rPr>
      <t>2</t>
    </r>
    <r>
      <rPr>
        <b/>
        <sz val="7"/>
        <color theme="1"/>
        <rFont val="Comic Sans MS"/>
      </rPr>
      <t>E)</t>
    </r>
  </si>
  <si>
    <r>
      <rPr>
        <b/>
        <sz val="7"/>
        <color theme="1"/>
        <rFont val="Comic Sans MS"/>
      </rPr>
      <t>(MMTCO</t>
    </r>
    <r>
      <rPr>
        <b/>
        <vertAlign val="subscript"/>
        <sz val="7"/>
        <color theme="1"/>
        <rFont val="Comic Sans MS"/>
      </rPr>
      <t>2</t>
    </r>
    <r>
      <rPr>
        <b/>
        <sz val="7"/>
        <color theme="1"/>
        <rFont val="Comic Sans MS"/>
      </rPr>
      <t>E)</t>
    </r>
  </si>
  <si>
    <r>
      <rPr>
        <b/>
        <sz val="7"/>
        <color theme="1"/>
        <rFont val="Comic Sans MS"/>
      </rPr>
      <t>(MMTCO</t>
    </r>
    <r>
      <rPr>
        <b/>
        <vertAlign val="subscript"/>
        <sz val="7"/>
        <color theme="1"/>
        <rFont val="Comic Sans MS"/>
      </rPr>
      <t>2</t>
    </r>
    <r>
      <rPr>
        <b/>
        <sz val="7"/>
        <color theme="1"/>
        <rFont val="Comic Sans MS"/>
      </rPr>
      <t>E)</t>
    </r>
  </si>
  <si>
    <t>Industrial Consumption and CO2 Emissions in Maryland</t>
  </si>
  <si>
    <r>
      <rPr>
        <sz val="14"/>
        <color rgb="FF000000"/>
        <rFont val="Comic Sans MS"/>
      </rPr>
      <t>Industrial Sector CO</t>
    </r>
    <r>
      <rPr>
        <vertAlign val="subscript"/>
        <sz val="14"/>
        <color rgb="FF000000"/>
        <rFont val="Comic Sans MS"/>
      </rPr>
      <t>2</t>
    </r>
  </si>
  <si>
    <t xml:space="preserve">Total </t>
  </si>
  <si>
    <r>
      <rPr>
        <b/>
        <sz val="7"/>
        <color theme="1"/>
        <rFont val="Comic Sans MS"/>
      </rPr>
      <t>(MMTCO</t>
    </r>
    <r>
      <rPr>
        <b/>
        <vertAlign val="subscript"/>
        <sz val="7"/>
        <color theme="1"/>
        <rFont val="Comic Sans MS"/>
      </rPr>
      <t>2</t>
    </r>
    <r>
      <rPr>
        <b/>
        <sz val="7"/>
        <color theme="1"/>
        <rFont val="Comic Sans MS"/>
      </rPr>
      <t>E)</t>
    </r>
  </si>
  <si>
    <t>Coking Coal</t>
  </si>
  <si>
    <t>Other Coal</t>
  </si>
  <si>
    <t>Asphalt and Road Oil</t>
  </si>
  <si>
    <t>Aviation Gasoline Blending Components</t>
  </si>
  <si>
    <t>Crude Oil</t>
  </si>
  <si>
    <t>Feedstocks, Naphtha less than 401 F</t>
  </si>
  <si>
    <t>Feedstocks, Other Oils greater than 401 F</t>
  </si>
  <si>
    <t>Motor Gasoline Blending Components</t>
  </si>
  <si>
    <t>Misc. Petro Products</t>
  </si>
  <si>
    <t>Petroleum Coke</t>
  </si>
  <si>
    <t>Pentanes Plus</t>
  </si>
  <si>
    <t>Still Gas</t>
  </si>
  <si>
    <t>Special Naphthas</t>
  </si>
  <si>
    <t>Unfinished Oils</t>
  </si>
  <si>
    <t>Waxes</t>
  </si>
  <si>
    <r>
      <rPr>
        <sz val="14"/>
        <color theme="1"/>
        <rFont val="Comic Sans MS"/>
      </rPr>
      <t>Industrial Sector N</t>
    </r>
    <r>
      <rPr>
        <vertAlign val="subscript"/>
        <sz val="14"/>
        <color theme="1"/>
        <rFont val="Comic Sans MS"/>
      </rPr>
      <t>2</t>
    </r>
    <r>
      <rPr>
        <sz val="14"/>
        <color theme="1"/>
        <rFont val="Comic Sans MS"/>
      </rPr>
      <t>O</t>
    </r>
  </si>
  <si>
    <r>
      <rPr>
        <b/>
        <sz val="7"/>
        <color theme="1"/>
        <rFont val="Comic Sans MS"/>
      </rPr>
      <t>(metric tons N</t>
    </r>
    <r>
      <rPr>
        <b/>
        <vertAlign val="subscript"/>
        <sz val="7"/>
        <color theme="1"/>
        <rFont val="Comic Sans MS"/>
      </rPr>
      <t>2</t>
    </r>
    <r>
      <rPr>
        <b/>
        <sz val="7"/>
        <color theme="1"/>
        <rFont val="Comic Sans MS"/>
      </rPr>
      <t>O/BBtu)</t>
    </r>
  </si>
  <si>
    <r>
      <rPr>
        <b/>
        <sz val="7"/>
        <color theme="1"/>
        <rFont val="Comic Sans MS"/>
      </rPr>
      <t>(metric tons N</t>
    </r>
    <r>
      <rPr>
        <b/>
        <vertAlign val="subscript"/>
        <sz val="7"/>
        <color theme="1"/>
        <rFont val="Comic Sans MS"/>
      </rPr>
      <t>2</t>
    </r>
    <r>
      <rPr>
        <b/>
        <sz val="7"/>
        <color theme="1"/>
        <rFont val="Comic Sans MS"/>
      </rPr>
      <t>O)</t>
    </r>
  </si>
  <si>
    <r>
      <rPr>
        <b/>
        <sz val="7"/>
        <color theme="1"/>
        <rFont val="Comic Sans MS"/>
      </rPr>
      <t>(MMTCO</t>
    </r>
    <r>
      <rPr>
        <b/>
        <vertAlign val="subscript"/>
        <sz val="7"/>
        <color theme="1"/>
        <rFont val="Comic Sans MS"/>
      </rPr>
      <t>2</t>
    </r>
    <r>
      <rPr>
        <b/>
        <sz val="7"/>
        <color theme="1"/>
        <rFont val="Comic Sans MS"/>
      </rPr>
      <t>E)</t>
    </r>
  </si>
  <si>
    <t>NA</t>
  </si>
  <si>
    <r>
      <rPr>
        <sz val="14"/>
        <color rgb="FF000000"/>
        <rFont val="Comic Sans MS"/>
      </rPr>
      <t>Industrial Sector CH</t>
    </r>
    <r>
      <rPr>
        <vertAlign val="subscript"/>
        <sz val="14"/>
        <color rgb="FF000000"/>
        <rFont val="Comic Sans MS"/>
      </rPr>
      <t>4</t>
    </r>
  </si>
  <si>
    <t>Industrial Sector GHG</t>
  </si>
  <si>
    <r>
      <rPr>
        <b/>
        <sz val="8"/>
        <color rgb="FF000000"/>
        <rFont val="Arial"/>
      </rPr>
      <t>CO</t>
    </r>
    <r>
      <rPr>
        <b/>
        <vertAlign val="subscript"/>
        <sz val="8"/>
        <color rgb="FF000000"/>
        <rFont val="Arial"/>
      </rPr>
      <t>2</t>
    </r>
  </si>
  <si>
    <r>
      <rPr>
        <b/>
        <sz val="8"/>
        <color rgb="FF000000"/>
        <rFont val="Arial"/>
      </rPr>
      <t>CH</t>
    </r>
    <r>
      <rPr>
        <b/>
        <vertAlign val="subscript"/>
        <sz val="8"/>
        <color rgb="FF000000"/>
        <rFont val="Arial"/>
      </rPr>
      <t>4</t>
    </r>
  </si>
  <si>
    <r>
      <rPr>
        <b/>
        <sz val="8"/>
        <color rgb="FF000000"/>
        <rFont val="Arial"/>
      </rPr>
      <t>N</t>
    </r>
    <r>
      <rPr>
        <b/>
        <vertAlign val="subscript"/>
        <sz val="8"/>
        <color rgb="FF000000"/>
        <rFont val="Arial"/>
      </rPr>
      <t>2</t>
    </r>
    <r>
      <rPr>
        <b/>
        <sz val="8"/>
        <color rgb="FF000000"/>
        <rFont val="Arial"/>
      </rPr>
      <t>O</t>
    </r>
  </si>
  <si>
    <r>
      <rPr>
        <b/>
        <sz val="7"/>
        <color theme="1"/>
        <rFont val="Comic Sans MS"/>
      </rPr>
      <t>(MMTCO</t>
    </r>
    <r>
      <rPr>
        <b/>
        <vertAlign val="subscript"/>
        <sz val="7"/>
        <color theme="1"/>
        <rFont val="Comic Sans MS"/>
      </rPr>
      <t>2</t>
    </r>
    <r>
      <rPr>
        <b/>
        <sz val="7"/>
        <color theme="1"/>
        <rFont val="Comic Sans MS"/>
      </rPr>
      <t>E)</t>
    </r>
  </si>
  <si>
    <r>
      <rPr>
        <b/>
        <sz val="7"/>
        <color theme="1"/>
        <rFont val="Comic Sans MS"/>
      </rPr>
      <t>(MMTCO</t>
    </r>
    <r>
      <rPr>
        <b/>
        <vertAlign val="subscript"/>
        <sz val="7"/>
        <color theme="1"/>
        <rFont val="Comic Sans MS"/>
      </rPr>
      <t>2</t>
    </r>
    <r>
      <rPr>
        <b/>
        <sz val="7"/>
        <color theme="1"/>
        <rFont val="Comic Sans MS"/>
      </rPr>
      <t>E)</t>
    </r>
  </si>
  <si>
    <r>
      <rPr>
        <b/>
        <sz val="7"/>
        <color theme="1"/>
        <rFont val="Comic Sans MS"/>
      </rPr>
      <t>(MMTCO</t>
    </r>
    <r>
      <rPr>
        <b/>
        <vertAlign val="subscript"/>
        <sz val="7"/>
        <color theme="1"/>
        <rFont val="Comic Sans MS"/>
      </rPr>
      <t>2</t>
    </r>
    <r>
      <rPr>
        <b/>
        <sz val="7"/>
        <color theme="1"/>
        <rFont val="Comic Sans MS"/>
      </rPr>
      <t>E)</t>
    </r>
  </si>
  <si>
    <r>
      <rPr>
        <b/>
        <sz val="7"/>
        <color theme="1"/>
        <rFont val="Comic Sans MS"/>
      </rPr>
      <t>(MMTCO</t>
    </r>
    <r>
      <rPr>
        <b/>
        <vertAlign val="subscript"/>
        <sz val="7"/>
        <color theme="1"/>
        <rFont val="Comic Sans MS"/>
      </rPr>
      <t>2</t>
    </r>
    <r>
      <rPr>
        <b/>
        <sz val="7"/>
        <color theme="1"/>
        <rFont val="Comic Sans MS"/>
      </rPr>
      <t>E)</t>
    </r>
  </si>
  <si>
    <t>Cement Industry Production Emissions</t>
  </si>
  <si>
    <t>WSC Methodology used in Emission Certification Reports.</t>
  </si>
  <si>
    <t>CO2 from Raw Meal Converted to Clinker</t>
  </si>
  <si>
    <t>Holcim</t>
  </si>
  <si>
    <t>Lehigh</t>
  </si>
  <si>
    <t>Essroc</t>
  </si>
  <si>
    <t>MD Total</t>
  </si>
  <si>
    <t>Facility:</t>
  </si>
  <si>
    <t>Clinker Produced (metric tonnes)</t>
  </si>
  <si>
    <r>
      <rPr>
        <sz val="10"/>
        <color theme="1"/>
        <rFont val="Arial"/>
      </rPr>
      <t>Calcination Emission Factor ( kg CO</t>
    </r>
    <r>
      <rPr>
        <vertAlign val="subscript"/>
        <sz val="10"/>
        <color theme="1"/>
        <rFont val="Arial"/>
      </rPr>
      <t>2</t>
    </r>
    <r>
      <rPr>
        <sz val="10"/>
        <color theme="1"/>
        <rFont val="Arial"/>
      </rPr>
      <t>/ tonnes Clinker)</t>
    </r>
  </si>
  <si>
    <r>
      <rPr>
        <sz val="10"/>
        <color rgb="FFFF0000"/>
        <rFont val="Arial"/>
      </rPr>
      <t>Clinker CO</t>
    </r>
    <r>
      <rPr>
        <vertAlign val="subscript"/>
        <sz val="10"/>
        <color rgb="FFFF0000"/>
        <rFont val="Arial"/>
      </rPr>
      <t>2</t>
    </r>
    <r>
      <rPr>
        <sz val="10"/>
        <color rgb="FFFF0000"/>
        <rFont val="Arial"/>
      </rPr>
      <t xml:space="preserve"> Emission (tonnes CO</t>
    </r>
    <r>
      <rPr>
        <vertAlign val="subscript"/>
        <sz val="10"/>
        <color rgb="FFFF0000"/>
        <rFont val="Arial"/>
      </rPr>
      <t>2</t>
    </r>
    <r>
      <rPr>
        <sz val="10"/>
        <color rgb="FFFF0000"/>
        <rFont val="Arial"/>
      </rPr>
      <t>/yr)</t>
    </r>
  </si>
  <si>
    <r>
      <rPr>
        <b/>
        <sz val="10"/>
        <color theme="1"/>
        <rFont val="Arial"/>
      </rPr>
      <t>CO</t>
    </r>
    <r>
      <rPr>
        <b/>
        <vertAlign val="subscript"/>
        <sz val="10"/>
        <color theme="1"/>
        <rFont val="Arial"/>
      </rPr>
      <t>2</t>
    </r>
    <r>
      <rPr>
        <b/>
        <sz val="10"/>
        <color theme="1"/>
        <rFont val="Arial"/>
      </rPr>
      <t xml:space="preserve"> from Calcination of CKD leaving the Kiln system</t>
    </r>
  </si>
  <si>
    <t>CKD Produced (metric tonnes)</t>
  </si>
  <si>
    <r>
      <rPr>
        <sz val="10"/>
        <color theme="1"/>
        <rFont val="Arial"/>
      </rPr>
      <t>CKD Emission Factor ( t CO</t>
    </r>
    <r>
      <rPr>
        <vertAlign val="subscript"/>
        <sz val="10"/>
        <color theme="1"/>
        <rFont val="Arial"/>
      </rPr>
      <t>2</t>
    </r>
    <r>
      <rPr>
        <sz val="10"/>
        <color theme="1"/>
        <rFont val="Arial"/>
      </rPr>
      <t>/ tonnes CKD)</t>
    </r>
  </si>
  <si>
    <t xml:space="preserve">Calcination rate of CKD [%]-Default </t>
  </si>
  <si>
    <r>
      <rPr>
        <sz val="10"/>
        <color rgb="FFFF0000"/>
        <rFont val="Arial"/>
      </rPr>
      <t>CKD CO</t>
    </r>
    <r>
      <rPr>
        <vertAlign val="subscript"/>
        <sz val="10"/>
        <color rgb="FFFF0000"/>
        <rFont val="Arial"/>
      </rPr>
      <t>2</t>
    </r>
    <r>
      <rPr>
        <sz val="10"/>
        <color rgb="FFFF0000"/>
        <rFont val="Arial"/>
      </rPr>
      <t xml:space="preserve"> Emission (tonnes CO</t>
    </r>
    <r>
      <rPr>
        <vertAlign val="subscript"/>
        <sz val="10"/>
        <color rgb="FFFF0000"/>
        <rFont val="Arial"/>
      </rPr>
      <t>2</t>
    </r>
    <r>
      <rPr>
        <sz val="10"/>
        <color rgb="FFFF0000"/>
        <rFont val="Arial"/>
      </rPr>
      <t>/yr)</t>
    </r>
  </si>
  <si>
    <r>
      <rPr>
        <b/>
        <sz val="10"/>
        <color theme="1"/>
        <rFont val="Arial"/>
      </rPr>
      <t>CO</t>
    </r>
    <r>
      <rPr>
        <b/>
        <vertAlign val="subscript"/>
        <sz val="10"/>
        <color theme="1"/>
        <rFont val="Arial"/>
      </rPr>
      <t>2</t>
    </r>
    <r>
      <rPr>
        <b/>
        <sz val="10"/>
        <color theme="1"/>
        <rFont val="Arial"/>
      </rPr>
      <t xml:space="preserve"> from Organic Carbon Content of Raw Meal</t>
    </r>
  </si>
  <si>
    <t xml:space="preserve"> Raw Meal to Clinker Ratio (Default)</t>
  </si>
  <si>
    <t>Raw Meal Consumption (metric tonnes)</t>
  </si>
  <si>
    <t>Organic Carbon Content of Raw Meal (Average)</t>
  </si>
  <si>
    <r>
      <rPr>
        <sz val="10"/>
        <color rgb="FFFF0000"/>
        <rFont val="Arial"/>
      </rPr>
      <t xml:space="preserve"> CO</t>
    </r>
    <r>
      <rPr>
        <vertAlign val="subscript"/>
        <sz val="10"/>
        <color rgb="FFFF0000"/>
        <rFont val="Arial"/>
      </rPr>
      <t>2</t>
    </r>
    <r>
      <rPr>
        <sz val="10"/>
        <color rgb="FFFF0000"/>
        <rFont val="Arial"/>
      </rPr>
      <t xml:space="preserve"> Emission (tonnes CO</t>
    </r>
    <r>
      <rPr>
        <vertAlign val="subscript"/>
        <sz val="10"/>
        <color rgb="FFFF0000"/>
        <rFont val="Arial"/>
      </rPr>
      <t>2</t>
    </r>
    <r>
      <rPr>
        <sz val="10"/>
        <color rgb="FFFF0000"/>
        <rFont val="Arial"/>
      </rPr>
      <t>/yr)</t>
    </r>
  </si>
  <si>
    <r>
      <rPr>
        <sz val="8"/>
        <color theme="1"/>
        <rFont val="Arial"/>
      </rPr>
      <t xml:space="preserve">                                                                        MD Total Cement Process CO</t>
    </r>
    <r>
      <rPr>
        <vertAlign val="subscript"/>
        <sz val="10"/>
        <color theme="1"/>
        <rFont val="Arial"/>
      </rPr>
      <t>2</t>
    </r>
    <r>
      <rPr>
        <sz val="8"/>
        <color theme="1"/>
        <rFont val="Arial"/>
      </rPr>
      <t xml:space="preserve"> (metric tonnes) = </t>
    </r>
  </si>
  <si>
    <r>
      <rPr>
        <sz val="8"/>
        <color rgb="FFFF0000"/>
        <rFont val="Arial"/>
      </rPr>
      <t xml:space="preserve">                                            MD Total Cement Process CO</t>
    </r>
    <r>
      <rPr>
        <vertAlign val="subscript"/>
        <sz val="10"/>
        <color rgb="FFFF0000"/>
        <rFont val="Arial"/>
      </rPr>
      <t>2</t>
    </r>
    <r>
      <rPr>
        <sz val="8"/>
        <color rgb="FFFF0000"/>
        <rFont val="Arial"/>
      </rPr>
      <t xml:space="preserve"> (million metric tonnes CO2 Equivalent) = </t>
    </r>
  </si>
  <si>
    <t>SIT Methodology</t>
  </si>
  <si>
    <t>Production</t>
  </si>
  <si>
    <t>Emissions from Cement Kiln Dust</t>
  </si>
  <si>
    <t>(Metric Tons)</t>
  </si>
  <si>
    <r>
      <rPr>
        <b/>
        <sz val="7"/>
        <color theme="1"/>
        <rFont val="Comic Sans MS"/>
      </rPr>
      <t>(t CO</t>
    </r>
    <r>
      <rPr>
        <b/>
        <vertAlign val="subscript"/>
        <sz val="7"/>
        <color theme="1"/>
        <rFont val="Comic Sans MS"/>
      </rPr>
      <t>2</t>
    </r>
    <r>
      <rPr>
        <b/>
        <sz val="7"/>
        <color theme="1"/>
        <rFont val="Comic Sans MS"/>
      </rPr>
      <t>/t production)</t>
    </r>
  </si>
  <si>
    <r>
      <rPr>
        <b/>
        <sz val="7"/>
        <color theme="1"/>
        <rFont val="Comic Sans MS"/>
      </rPr>
      <t>(Metric Tons CO</t>
    </r>
    <r>
      <rPr>
        <b/>
        <vertAlign val="subscript"/>
        <sz val="7"/>
        <color theme="1"/>
        <rFont val="Comic Sans MS"/>
      </rPr>
      <t>2</t>
    </r>
    <r>
      <rPr>
        <b/>
        <sz val="7"/>
        <color theme="1"/>
        <rFont val="Comic Sans MS"/>
      </rPr>
      <t>)</t>
    </r>
  </si>
  <si>
    <r>
      <rPr>
        <b/>
        <sz val="7"/>
        <color theme="1"/>
        <rFont val="Comic Sans MS"/>
      </rPr>
      <t>(Metric Tons CO</t>
    </r>
    <r>
      <rPr>
        <b/>
        <vertAlign val="subscript"/>
        <sz val="7"/>
        <color theme="1"/>
        <rFont val="Comic Sans MS"/>
      </rPr>
      <t>2</t>
    </r>
    <r>
      <rPr>
        <b/>
        <sz val="7"/>
        <color theme="1"/>
        <rFont val="Comic Sans MS"/>
      </rPr>
      <t>)</t>
    </r>
  </si>
  <si>
    <t>(MTCE)</t>
  </si>
  <si>
    <r>
      <rPr>
        <b/>
        <sz val="7"/>
        <color theme="1"/>
        <rFont val="Comic Sans MS"/>
      </rPr>
      <t>(MTCO</t>
    </r>
    <r>
      <rPr>
        <b/>
        <vertAlign val="subscript"/>
        <sz val="7"/>
        <color theme="1"/>
        <rFont val="Comic Sans MS"/>
      </rPr>
      <t>2</t>
    </r>
    <r>
      <rPr>
        <b/>
        <sz val="7"/>
        <color theme="1"/>
        <rFont val="Comic Sans MS"/>
      </rPr>
      <t>E)</t>
    </r>
  </si>
  <si>
    <r>
      <rPr>
        <b/>
        <sz val="7"/>
        <color theme="1"/>
        <rFont val="Comic Sans MS"/>
      </rPr>
      <t>(MMTCO</t>
    </r>
    <r>
      <rPr>
        <b/>
        <vertAlign val="subscript"/>
        <sz val="7"/>
        <color theme="1"/>
        <rFont val="Comic Sans MS"/>
      </rPr>
      <t>2</t>
    </r>
    <r>
      <rPr>
        <b/>
        <sz val="7"/>
        <color theme="1"/>
        <rFont val="Comic Sans MS"/>
      </rPr>
      <t>E)</t>
    </r>
  </si>
  <si>
    <t>+</t>
  </si>
  <si>
    <t>(Clinker)</t>
  </si>
  <si>
    <r>
      <rPr>
        <sz val="10"/>
        <color theme="1"/>
        <rFont val="Arial"/>
      </rPr>
      <t>Calcination Emission Factor ( kg CO</t>
    </r>
    <r>
      <rPr>
        <vertAlign val="subscript"/>
        <sz val="10"/>
        <color theme="1"/>
        <rFont val="Arial"/>
      </rPr>
      <t>2</t>
    </r>
    <r>
      <rPr>
        <sz val="10"/>
        <color theme="1"/>
        <rFont val="Arial"/>
      </rPr>
      <t>/ tonnes Clinker)</t>
    </r>
  </si>
  <si>
    <r>
      <rPr>
        <sz val="10"/>
        <color rgb="FFFF0000"/>
        <rFont val="Arial"/>
      </rPr>
      <t>Clinker CO</t>
    </r>
    <r>
      <rPr>
        <vertAlign val="subscript"/>
        <sz val="10"/>
        <color rgb="FFFF0000"/>
        <rFont val="Arial"/>
      </rPr>
      <t>2</t>
    </r>
    <r>
      <rPr>
        <sz val="10"/>
        <color rgb="FFFF0000"/>
        <rFont val="Arial"/>
      </rPr>
      <t xml:space="preserve"> Emission (tonnes CO</t>
    </r>
    <r>
      <rPr>
        <vertAlign val="subscript"/>
        <sz val="10"/>
        <color rgb="FFFF0000"/>
        <rFont val="Arial"/>
      </rPr>
      <t>2</t>
    </r>
    <r>
      <rPr>
        <sz val="10"/>
        <color rgb="FFFF0000"/>
        <rFont val="Arial"/>
      </rPr>
      <t>/yr)</t>
    </r>
  </si>
  <si>
    <r>
      <rPr>
        <b/>
        <sz val="10"/>
        <color theme="1"/>
        <rFont val="Arial"/>
      </rPr>
      <t>CO</t>
    </r>
    <r>
      <rPr>
        <b/>
        <vertAlign val="subscript"/>
        <sz val="10"/>
        <color theme="1"/>
        <rFont val="Arial"/>
      </rPr>
      <t>2</t>
    </r>
    <r>
      <rPr>
        <b/>
        <sz val="10"/>
        <color theme="1"/>
        <rFont val="Arial"/>
      </rPr>
      <t xml:space="preserve"> from Calcination of CKD leaving the Kiln system</t>
    </r>
  </si>
  <si>
    <r>
      <rPr>
        <sz val="10"/>
        <color theme="1"/>
        <rFont val="Arial"/>
      </rPr>
      <t>CKD Emission Factor ( t CO</t>
    </r>
    <r>
      <rPr>
        <vertAlign val="subscript"/>
        <sz val="10"/>
        <color theme="1"/>
        <rFont val="Arial"/>
      </rPr>
      <t>2</t>
    </r>
    <r>
      <rPr>
        <sz val="10"/>
        <color theme="1"/>
        <rFont val="Arial"/>
      </rPr>
      <t>/ tonnes CKD)</t>
    </r>
  </si>
  <si>
    <r>
      <rPr>
        <sz val="10"/>
        <color rgb="FFFF0000"/>
        <rFont val="Arial"/>
      </rPr>
      <t>CKD CO</t>
    </r>
    <r>
      <rPr>
        <vertAlign val="subscript"/>
        <sz val="10"/>
        <color rgb="FFFF0000"/>
        <rFont val="Arial"/>
      </rPr>
      <t>2</t>
    </r>
    <r>
      <rPr>
        <sz val="10"/>
        <color rgb="FFFF0000"/>
        <rFont val="Arial"/>
      </rPr>
      <t xml:space="preserve"> Emission (tonnes CO</t>
    </r>
    <r>
      <rPr>
        <vertAlign val="subscript"/>
        <sz val="10"/>
        <color rgb="FFFF0000"/>
        <rFont val="Arial"/>
      </rPr>
      <t>2</t>
    </r>
    <r>
      <rPr>
        <sz val="10"/>
        <color rgb="FFFF0000"/>
        <rFont val="Arial"/>
      </rPr>
      <t>/yr)</t>
    </r>
  </si>
  <si>
    <r>
      <rPr>
        <b/>
        <sz val="10"/>
        <color theme="1"/>
        <rFont val="Arial"/>
      </rPr>
      <t>CO</t>
    </r>
    <r>
      <rPr>
        <b/>
        <vertAlign val="subscript"/>
        <sz val="10"/>
        <color theme="1"/>
        <rFont val="Arial"/>
      </rPr>
      <t>2</t>
    </r>
    <r>
      <rPr>
        <b/>
        <sz val="10"/>
        <color theme="1"/>
        <rFont val="Arial"/>
      </rPr>
      <t xml:space="preserve"> from Organic Carbon Content of Raw Meal</t>
    </r>
  </si>
  <si>
    <r>
      <rPr>
        <sz val="10"/>
        <color rgb="FFFF0000"/>
        <rFont val="Arial"/>
      </rPr>
      <t xml:space="preserve"> CO</t>
    </r>
    <r>
      <rPr>
        <vertAlign val="subscript"/>
        <sz val="10"/>
        <color rgb="FFFF0000"/>
        <rFont val="Arial"/>
      </rPr>
      <t>2</t>
    </r>
    <r>
      <rPr>
        <sz val="10"/>
        <color rgb="FFFF0000"/>
        <rFont val="Arial"/>
      </rPr>
      <t xml:space="preserve"> Emission (tonnes CO</t>
    </r>
    <r>
      <rPr>
        <vertAlign val="subscript"/>
        <sz val="10"/>
        <color rgb="FFFF0000"/>
        <rFont val="Arial"/>
      </rPr>
      <t>2</t>
    </r>
    <r>
      <rPr>
        <sz val="10"/>
        <color rgb="FFFF0000"/>
        <rFont val="Arial"/>
      </rPr>
      <t>/yr)</t>
    </r>
  </si>
  <si>
    <r>
      <rPr>
        <sz val="8"/>
        <color theme="1"/>
        <rFont val="Arial"/>
      </rPr>
      <t>MD Total Cement Process CO</t>
    </r>
    <r>
      <rPr>
        <vertAlign val="subscript"/>
        <sz val="10"/>
        <color theme="1"/>
        <rFont val="Arial"/>
      </rPr>
      <t>2</t>
    </r>
    <r>
      <rPr>
        <sz val="8"/>
        <color theme="1"/>
        <rFont val="Arial"/>
      </rPr>
      <t xml:space="preserve"> (metric tonnes) </t>
    </r>
  </si>
  <si>
    <r>
      <rPr>
        <sz val="8"/>
        <color rgb="FFFF0000"/>
        <rFont val="Arial"/>
      </rPr>
      <t>MD Total Cement Process CO</t>
    </r>
    <r>
      <rPr>
        <vertAlign val="subscript"/>
        <sz val="10"/>
        <color rgb="FFFF0000"/>
        <rFont val="Arial"/>
      </rPr>
      <t>2</t>
    </r>
    <r>
      <rPr>
        <sz val="8"/>
        <color rgb="FFFF0000"/>
        <rFont val="Arial"/>
      </rPr>
      <t xml:space="preserve"> (million metric tonnes CO2 Equivalent) </t>
    </r>
  </si>
  <si>
    <t>Production &amp; Consumption</t>
  </si>
  <si>
    <t>Subract emissions</t>
  </si>
  <si>
    <r>
      <rPr>
        <b/>
        <sz val="10"/>
        <color theme="1"/>
        <rFont val="Times New Roman"/>
      </rPr>
      <t>(mt CO</t>
    </r>
    <r>
      <rPr>
        <b/>
        <vertAlign val="subscript"/>
        <sz val="10"/>
        <color theme="1"/>
        <rFont val="Times New Roman"/>
      </rPr>
      <t>2</t>
    </r>
    <r>
      <rPr>
        <b/>
        <sz val="10"/>
        <color theme="1"/>
        <rFont val="Times New Roman"/>
      </rPr>
      <t>/mt activity)</t>
    </r>
  </si>
  <si>
    <t xml:space="preserve"> from Urea</t>
  </si>
  <si>
    <r>
      <rPr>
        <b/>
        <sz val="10"/>
        <color theme="1"/>
        <rFont val="Times New Roman"/>
      </rPr>
      <t>(MTCO</t>
    </r>
    <r>
      <rPr>
        <b/>
        <vertAlign val="subscript"/>
        <sz val="10"/>
        <color theme="1"/>
        <rFont val="Times New Roman"/>
      </rPr>
      <t>2</t>
    </r>
    <r>
      <rPr>
        <b/>
        <sz val="10"/>
        <color theme="1"/>
        <rFont val="Times New Roman"/>
      </rPr>
      <t>E)</t>
    </r>
  </si>
  <si>
    <r>
      <rPr>
        <b/>
        <sz val="10"/>
        <color theme="1"/>
        <rFont val="Times New Roman"/>
      </rPr>
      <t>(MMTCO</t>
    </r>
    <r>
      <rPr>
        <b/>
        <vertAlign val="subscript"/>
        <sz val="10"/>
        <color theme="1"/>
        <rFont val="Times New Roman"/>
      </rPr>
      <t>2</t>
    </r>
    <r>
      <rPr>
        <b/>
        <sz val="10"/>
        <color theme="1"/>
        <rFont val="Times New Roman"/>
      </rPr>
      <t>E)</t>
    </r>
  </si>
  <si>
    <t>Iron &amp; Steel Industry Production Emissions</t>
  </si>
  <si>
    <t>Product</t>
  </si>
  <si>
    <r>
      <rPr>
        <sz val="8"/>
        <color theme="1"/>
        <rFont val="Arial"/>
      </rPr>
      <t>CO</t>
    </r>
    <r>
      <rPr>
        <vertAlign val="subscript"/>
        <sz val="10"/>
        <color theme="1"/>
        <rFont val="Arial"/>
      </rPr>
      <t>2</t>
    </r>
    <r>
      <rPr>
        <sz val="8"/>
        <color theme="1"/>
        <rFont val="Arial"/>
      </rPr>
      <t xml:space="preserve"> Emission</t>
    </r>
  </si>
  <si>
    <t>Carbon</t>
  </si>
  <si>
    <r>
      <rPr>
        <sz val="8"/>
        <color theme="1"/>
        <rFont val="Arial"/>
      </rPr>
      <t>CH</t>
    </r>
    <r>
      <rPr>
        <vertAlign val="subscript"/>
        <sz val="10"/>
        <color theme="1"/>
        <rFont val="Arial"/>
      </rPr>
      <t>4</t>
    </r>
    <r>
      <rPr>
        <sz val="8"/>
        <color theme="1"/>
        <rFont val="Arial"/>
      </rPr>
      <t xml:space="preserve"> Emission </t>
    </r>
  </si>
  <si>
    <r>
      <rPr>
        <sz val="8"/>
        <color theme="1"/>
        <rFont val="Arial"/>
      </rPr>
      <t>N</t>
    </r>
    <r>
      <rPr>
        <vertAlign val="subscript"/>
        <sz val="10"/>
        <color theme="1"/>
        <rFont val="Arial"/>
      </rPr>
      <t>2</t>
    </r>
    <r>
      <rPr>
        <sz val="8"/>
        <color theme="1"/>
        <rFont val="Arial"/>
      </rPr>
      <t>O Emission</t>
    </r>
  </si>
  <si>
    <r>
      <rPr>
        <sz val="8"/>
        <color theme="1"/>
        <rFont val="Arial"/>
      </rPr>
      <t>CO</t>
    </r>
    <r>
      <rPr>
        <vertAlign val="subscript"/>
        <sz val="10"/>
        <color theme="1"/>
        <rFont val="Arial"/>
      </rPr>
      <t>2</t>
    </r>
    <r>
      <rPr>
        <sz val="8"/>
        <color theme="1"/>
        <rFont val="Arial"/>
      </rPr>
      <t xml:space="preserve"> Emission</t>
    </r>
  </si>
  <si>
    <r>
      <rPr>
        <sz val="8"/>
        <color theme="1"/>
        <rFont val="Arial"/>
      </rPr>
      <t>CO</t>
    </r>
    <r>
      <rPr>
        <vertAlign val="subscript"/>
        <sz val="10"/>
        <color theme="1"/>
        <rFont val="Arial"/>
      </rPr>
      <t>2</t>
    </r>
    <r>
      <rPr>
        <sz val="8"/>
        <color theme="1"/>
        <rFont val="Arial"/>
      </rPr>
      <t xml:space="preserve"> Emission</t>
    </r>
  </si>
  <si>
    <r>
      <rPr>
        <sz val="8"/>
        <color theme="1"/>
        <rFont val="Arial"/>
      </rPr>
      <t>CO</t>
    </r>
    <r>
      <rPr>
        <vertAlign val="subscript"/>
        <sz val="10"/>
        <color theme="1"/>
        <rFont val="Arial"/>
      </rPr>
      <t>2</t>
    </r>
    <r>
      <rPr>
        <sz val="8"/>
        <color theme="1"/>
        <rFont val="Arial"/>
      </rPr>
      <t xml:space="preserve"> Emission</t>
    </r>
  </si>
  <si>
    <t>Intensity</t>
  </si>
  <si>
    <r>
      <rPr>
        <sz val="8"/>
        <color theme="1"/>
        <rFont val="Arial"/>
      </rPr>
      <t>MMTCO</t>
    </r>
    <r>
      <rPr>
        <vertAlign val="subscript"/>
        <sz val="8"/>
        <color theme="1"/>
        <rFont val="Arial"/>
      </rPr>
      <t>2</t>
    </r>
    <r>
      <rPr>
        <sz val="8"/>
        <color theme="1"/>
        <rFont val="Arial"/>
      </rPr>
      <t>E</t>
    </r>
  </si>
  <si>
    <t>Sinter Strand</t>
  </si>
  <si>
    <t>Sinter</t>
  </si>
  <si>
    <t>L Blast Furnace</t>
  </si>
  <si>
    <t>Iron</t>
  </si>
  <si>
    <t>BOF</t>
  </si>
  <si>
    <t>Steel</t>
  </si>
  <si>
    <t>Landfill Emissions</t>
  </si>
  <si>
    <t>Uncontrolled Landfills</t>
  </si>
  <si>
    <t>Flared Landfills</t>
  </si>
  <si>
    <t>LFTGE Landfills</t>
  </si>
  <si>
    <t>County</t>
  </si>
  <si>
    <t>Facility Name</t>
  </si>
  <si>
    <t>TOTAL Landfill Capacity (Million tons)</t>
  </si>
  <si>
    <t>Correct Capacity (MegaGrams)</t>
  </si>
  <si>
    <t>Average Acceptance / Yearly Disposal (tons/yr)</t>
  </si>
  <si>
    <t>Average Acceptance / Yearly Disposal (Mg/yr)</t>
  </si>
  <si>
    <t>Year Opened</t>
  </si>
  <si>
    <t>Year Closed</t>
  </si>
  <si>
    <r>
      <rPr>
        <b/>
        <sz val="9"/>
        <color theme="1"/>
        <rFont val="Arial"/>
      </rPr>
      <t>CO</t>
    </r>
    <r>
      <rPr>
        <b/>
        <vertAlign val="subscript"/>
        <sz val="9"/>
        <color theme="1"/>
        <rFont val="Arial"/>
      </rPr>
      <t>2</t>
    </r>
    <r>
      <rPr>
        <b/>
        <sz val="9"/>
        <color theme="1"/>
        <rFont val="Arial"/>
      </rPr>
      <t xml:space="preserve"> Generation (short tons) LandGEM 3.0</t>
    </r>
  </si>
  <si>
    <r>
      <rPr>
        <b/>
        <sz val="9"/>
        <color theme="1"/>
        <rFont val="Arial"/>
      </rPr>
      <t>CH</t>
    </r>
    <r>
      <rPr>
        <b/>
        <vertAlign val="subscript"/>
        <sz val="9"/>
        <color theme="1"/>
        <rFont val="Arial"/>
      </rPr>
      <t>4</t>
    </r>
    <r>
      <rPr>
        <b/>
        <sz val="9"/>
        <color theme="1"/>
        <rFont val="Arial"/>
      </rPr>
      <t xml:space="preserve"> Generation (short tons/yr) LandGEM 3.0</t>
    </r>
  </si>
  <si>
    <r>
      <rPr>
        <b/>
        <sz val="9"/>
        <color theme="1"/>
        <rFont val="Arial"/>
      </rPr>
      <t>CH</t>
    </r>
    <r>
      <rPr>
        <b/>
        <vertAlign val="subscript"/>
        <sz val="9"/>
        <color theme="1"/>
        <rFont val="Arial"/>
      </rPr>
      <t>4</t>
    </r>
    <r>
      <rPr>
        <b/>
        <sz val="9"/>
        <color theme="1"/>
        <rFont val="Arial"/>
      </rPr>
      <t xml:space="preserve"> Collection Efficiency (%)</t>
    </r>
  </si>
  <si>
    <t>CH4 Collected (tons)</t>
  </si>
  <si>
    <t>Flare Control Efficeincy (%)</t>
  </si>
  <si>
    <t>Amount of CH4 Flared (tons)</t>
  </si>
  <si>
    <r>
      <rPr>
        <b/>
        <sz val="9"/>
        <color theme="1"/>
        <rFont val="Arial"/>
      </rPr>
      <t>CO</t>
    </r>
    <r>
      <rPr>
        <b/>
        <vertAlign val="subscript"/>
        <sz val="9"/>
        <color theme="1"/>
        <rFont val="Arial"/>
      </rPr>
      <t>2</t>
    </r>
    <r>
      <rPr>
        <b/>
        <sz val="9"/>
        <color theme="1"/>
        <rFont val="Arial"/>
      </rPr>
      <t xml:space="preserve"> Generated from CH4 Combustion, tons</t>
    </r>
  </si>
  <si>
    <r>
      <rPr>
        <b/>
        <sz val="9"/>
        <color theme="1"/>
        <rFont val="Arial"/>
      </rPr>
      <t>Uncombusted CH</t>
    </r>
    <r>
      <rPr>
        <b/>
        <vertAlign val="subscript"/>
        <sz val="9"/>
        <color theme="1"/>
        <rFont val="Arial"/>
      </rPr>
      <t xml:space="preserve">4 </t>
    </r>
    <r>
      <rPr>
        <b/>
        <sz val="9"/>
        <color theme="1"/>
        <rFont val="Arial"/>
      </rPr>
      <t xml:space="preserve"> (Flare Emission, tons)  </t>
    </r>
  </si>
  <si>
    <r>
      <rPr>
        <b/>
        <sz val="9"/>
        <color theme="1"/>
        <rFont val="Arial"/>
      </rPr>
      <t>Uncollected Landfill  CH</t>
    </r>
    <r>
      <rPr>
        <b/>
        <vertAlign val="subscript"/>
        <sz val="9"/>
        <color theme="1"/>
        <rFont val="Arial"/>
      </rPr>
      <t>4</t>
    </r>
  </si>
  <si>
    <t>Surface Oxidation %</t>
  </si>
  <si>
    <t>Amount of CH4 Removed By Oxidation (tons)</t>
  </si>
  <si>
    <r>
      <rPr>
        <b/>
        <sz val="9"/>
        <color theme="1"/>
        <rFont val="Arial"/>
      </rPr>
      <t>Fugitive Landfill CH</t>
    </r>
    <r>
      <rPr>
        <b/>
        <vertAlign val="subscript"/>
        <sz val="9"/>
        <color theme="1"/>
        <rFont val="Arial"/>
      </rPr>
      <t>4</t>
    </r>
    <r>
      <rPr>
        <b/>
        <sz val="9"/>
        <color theme="1"/>
        <rFont val="Arial"/>
      </rPr>
      <t xml:space="preserve"> Emission (tons)</t>
    </r>
  </si>
  <si>
    <t xml:space="preserve">Total  CH4 Emission, tons </t>
  </si>
  <si>
    <t xml:space="preserve">Total methane emissions (CO2e) </t>
  </si>
  <si>
    <t>Total GHG Emissions (tons)</t>
  </si>
  <si>
    <t>Allegany</t>
  </si>
  <si>
    <t>Mountainview Municipal Landfill</t>
  </si>
  <si>
    <t>Vale Summit</t>
  </si>
  <si>
    <t>Anne Arundel</t>
  </si>
  <si>
    <t>Annapolis</t>
  </si>
  <si>
    <t>Fort G. Meade Municipal Landfill</t>
  </si>
  <si>
    <t>Millersville Municipal Landfill</t>
  </si>
  <si>
    <t>Sudley Road</t>
  </si>
  <si>
    <t>Solley Road</t>
  </si>
  <si>
    <t>Glen Burnie</t>
  </si>
  <si>
    <t>Baltimore City</t>
  </si>
  <si>
    <t>Quarantine Road Municipal Landfill</t>
  </si>
  <si>
    <t>Baltimore County</t>
  </si>
  <si>
    <t>Eastern Municipal Landfill</t>
  </si>
  <si>
    <t>Norris Farm</t>
  </si>
  <si>
    <t>Calvert</t>
  </si>
  <si>
    <t>Appeal Municipal Landfill</t>
  </si>
  <si>
    <t>Barstow</t>
  </si>
  <si>
    <t>Caroline</t>
  </si>
  <si>
    <t>Midshore I Regional Landfill</t>
  </si>
  <si>
    <t>Carroll</t>
  </si>
  <si>
    <t>Hoods Mill</t>
  </si>
  <si>
    <t>Northern Municpal Landfill</t>
  </si>
  <si>
    <t>Cecil</t>
  </si>
  <si>
    <t>Cecil County Central Landfill - Hog Hill</t>
  </si>
  <si>
    <t>Charles</t>
  </si>
  <si>
    <t>Charles County Municipal LF #2</t>
  </si>
  <si>
    <t>Pisgah</t>
  </si>
  <si>
    <t xml:space="preserve">Dorchester </t>
  </si>
  <si>
    <t>Beulah HE #1</t>
  </si>
  <si>
    <t>Beulah HE #2</t>
  </si>
  <si>
    <t>Frederick</t>
  </si>
  <si>
    <t>Fort Detrick Municipal Landfill</t>
  </si>
  <si>
    <t>Reich's Ford A Municpal Landfill</t>
  </si>
  <si>
    <t>Reich's Ford Site B Municipal Landfill</t>
  </si>
  <si>
    <t>Garrett</t>
  </si>
  <si>
    <t>Garrett County SWD&amp;RF  or  Del Signiore</t>
  </si>
  <si>
    <t>Round Glade</t>
  </si>
  <si>
    <t>Harford</t>
  </si>
  <si>
    <t>Harford W.D. Center Municipal Landfill</t>
  </si>
  <si>
    <t>Montgomery</t>
  </si>
  <si>
    <t>Oaks Landfill</t>
  </si>
  <si>
    <t>Gude Landfill</t>
  </si>
  <si>
    <t>Howard</t>
  </si>
  <si>
    <t>Alpha Ridge</t>
  </si>
  <si>
    <t>Kent</t>
  </si>
  <si>
    <t>Nicholson</t>
  </si>
  <si>
    <t>Prince Georges</t>
  </si>
  <si>
    <t>Brown Station Landfill 1</t>
  </si>
  <si>
    <t>Brown Station Landfill B</t>
  </si>
  <si>
    <t>CDP/Sandy Hill</t>
  </si>
  <si>
    <t>Saint Andrews 1 &amp; 2 Municipal LF</t>
  </si>
  <si>
    <t>Somerset</t>
  </si>
  <si>
    <t>Somerset County Municipal LF or Fairmount Rd</t>
  </si>
  <si>
    <t>Westover/Ring</t>
  </si>
  <si>
    <t>Talbot</t>
  </si>
  <si>
    <t>Midshore II Regional Municipal LF</t>
  </si>
  <si>
    <t>Washington</t>
  </si>
  <si>
    <t>Hancock Landfill</t>
  </si>
  <si>
    <t>Resh Road 1 &amp; 2 Municipal LF</t>
  </si>
  <si>
    <t>Forty West</t>
  </si>
  <si>
    <t>Wicomico</t>
  </si>
  <si>
    <t>Newland Park Municipal LF - Wicomico County Landfill</t>
  </si>
  <si>
    <t>Worcester</t>
  </si>
  <si>
    <t>Central Municipal LF- Worcester County Sanitary Landfill</t>
  </si>
  <si>
    <t>Worcester Cell 2 &amp; 3</t>
  </si>
  <si>
    <r>
      <rPr>
        <sz val="10"/>
        <color theme="1"/>
        <rFont val="Arial"/>
      </rPr>
      <t>MSW Generation (short ton CH</t>
    </r>
    <r>
      <rPr>
        <vertAlign val="subscript"/>
        <sz val="10"/>
        <color theme="1"/>
        <rFont val="Arial"/>
      </rPr>
      <t>4</t>
    </r>
    <r>
      <rPr>
        <sz val="10"/>
        <color theme="1"/>
        <rFont val="Arial"/>
      </rPr>
      <t>)</t>
    </r>
  </si>
  <si>
    <r>
      <rPr>
        <sz val="10"/>
        <color theme="1"/>
        <rFont val="Arial"/>
      </rPr>
      <t>Flared CH</t>
    </r>
    <r>
      <rPr>
        <vertAlign val="subscript"/>
        <sz val="10"/>
        <color theme="1"/>
        <rFont val="Arial"/>
      </rPr>
      <t>4</t>
    </r>
    <r>
      <rPr>
        <sz val="10"/>
        <color theme="1"/>
        <rFont val="Arial"/>
      </rPr>
      <t xml:space="preserve"> (tons)</t>
    </r>
  </si>
  <si>
    <t>Landfill Gas-to-Energy (tons)</t>
  </si>
  <si>
    <r>
      <rPr>
        <sz val="10"/>
        <color theme="1"/>
        <rFont val="Arial"/>
      </rPr>
      <t>CH</t>
    </r>
    <r>
      <rPr>
        <vertAlign val="subscript"/>
        <sz val="10"/>
        <color theme="1"/>
        <rFont val="Arial"/>
      </rPr>
      <t>4</t>
    </r>
    <r>
      <rPr>
        <sz val="10"/>
        <color theme="1"/>
        <rFont val="Arial"/>
      </rPr>
      <t xml:space="preserve"> GWP</t>
    </r>
  </si>
  <si>
    <r>
      <rPr>
        <sz val="10"/>
        <color theme="1"/>
        <rFont val="Arial"/>
      </rPr>
      <t>CH</t>
    </r>
    <r>
      <rPr>
        <vertAlign val="subscript"/>
        <sz val="10"/>
        <color theme="1"/>
        <rFont val="Arial"/>
      </rPr>
      <t>4</t>
    </r>
    <r>
      <rPr>
        <sz val="10"/>
        <color theme="1"/>
        <rFont val="Arial"/>
      </rPr>
      <t xml:space="preserve"> GWP</t>
    </r>
  </si>
  <si>
    <r>
      <rPr>
        <sz val="10"/>
        <color theme="1"/>
        <rFont val="Arial"/>
      </rPr>
      <t>CH</t>
    </r>
    <r>
      <rPr>
        <vertAlign val="subscript"/>
        <sz val="10"/>
        <color theme="1"/>
        <rFont val="Arial"/>
      </rPr>
      <t>4</t>
    </r>
    <r>
      <rPr>
        <sz val="10"/>
        <color theme="1"/>
        <rFont val="Arial"/>
      </rPr>
      <t xml:space="preserve"> GWP</t>
    </r>
  </si>
  <si>
    <r>
      <rPr>
        <b/>
        <sz val="10"/>
        <color theme="1"/>
        <rFont val="Arial"/>
      </rPr>
      <t>MSW Generation ( MTCO</t>
    </r>
    <r>
      <rPr>
        <b/>
        <vertAlign val="subscript"/>
        <sz val="10"/>
        <color theme="1"/>
        <rFont val="Arial"/>
      </rPr>
      <t>2</t>
    </r>
    <r>
      <rPr>
        <b/>
        <sz val="10"/>
        <color theme="1"/>
        <rFont val="Arial"/>
      </rPr>
      <t>E)</t>
    </r>
  </si>
  <si>
    <r>
      <rPr>
        <b/>
        <sz val="10"/>
        <color theme="1"/>
        <rFont val="Arial"/>
      </rPr>
      <t>Flared CH</t>
    </r>
    <r>
      <rPr>
        <b/>
        <vertAlign val="subscript"/>
        <sz val="10"/>
        <color theme="1"/>
        <rFont val="Arial"/>
      </rPr>
      <t>4</t>
    </r>
    <r>
      <rPr>
        <b/>
        <sz val="10"/>
        <color theme="1"/>
        <rFont val="Arial"/>
      </rPr>
      <t xml:space="preserve"> (MTCO</t>
    </r>
    <r>
      <rPr>
        <b/>
        <vertAlign val="subscript"/>
        <sz val="10"/>
        <color theme="1"/>
        <rFont val="Arial"/>
      </rPr>
      <t>2</t>
    </r>
    <r>
      <rPr>
        <b/>
        <sz val="10"/>
        <color theme="1"/>
        <rFont val="Arial"/>
      </rPr>
      <t>E)</t>
    </r>
  </si>
  <si>
    <r>
      <rPr>
        <b/>
        <sz val="10"/>
        <color theme="1"/>
        <rFont val="Arial"/>
      </rPr>
      <t>Landfill Gas-to-Energy (MTCO</t>
    </r>
    <r>
      <rPr>
        <b/>
        <vertAlign val="subscript"/>
        <sz val="10"/>
        <color theme="1"/>
        <rFont val="Arial"/>
      </rPr>
      <t>2</t>
    </r>
    <r>
      <rPr>
        <b/>
        <sz val="10"/>
        <color theme="1"/>
        <rFont val="Arial"/>
      </rPr>
      <t>E)</t>
    </r>
  </si>
  <si>
    <r>
      <rPr>
        <b/>
        <sz val="10"/>
        <color theme="1"/>
        <rFont val="Arial"/>
      </rPr>
      <t>Industrial  Generation (MTCO</t>
    </r>
    <r>
      <rPr>
        <b/>
        <vertAlign val="subscript"/>
        <sz val="10"/>
        <color theme="1"/>
        <rFont val="Arial"/>
      </rPr>
      <t>2</t>
    </r>
    <r>
      <rPr>
        <b/>
        <sz val="10"/>
        <color theme="1"/>
        <rFont val="Arial"/>
      </rPr>
      <t>E)</t>
    </r>
  </si>
  <si>
    <r>
      <rPr>
        <b/>
        <sz val="10"/>
        <color theme="1"/>
        <rFont val="Arial"/>
      </rPr>
      <t>Potential CH</t>
    </r>
    <r>
      <rPr>
        <b/>
        <vertAlign val="subscript"/>
        <sz val="10"/>
        <color theme="1"/>
        <rFont val="Arial"/>
      </rPr>
      <t xml:space="preserve">4 </t>
    </r>
    <r>
      <rPr>
        <b/>
        <sz val="10"/>
        <color theme="1"/>
        <rFont val="Arial"/>
      </rPr>
      <t>(MTCO</t>
    </r>
    <r>
      <rPr>
        <b/>
        <vertAlign val="subscript"/>
        <sz val="10"/>
        <color theme="1"/>
        <rFont val="Arial"/>
      </rPr>
      <t>2</t>
    </r>
    <r>
      <rPr>
        <b/>
        <sz val="10"/>
        <color theme="1"/>
        <rFont val="Arial"/>
      </rPr>
      <t>E)</t>
    </r>
  </si>
  <si>
    <r>
      <rPr>
        <b/>
        <sz val="10"/>
        <color theme="1"/>
        <rFont val="Arial"/>
      </rPr>
      <t>CH</t>
    </r>
    <r>
      <rPr>
        <b/>
        <vertAlign val="subscript"/>
        <sz val="10"/>
        <color theme="1"/>
        <rFont val="Arial"/>
      </rPr>
      <t>4</t>
    </r>
    <r>
      <rPr>
        <b/>
        <sz val="10"/>
        <color theme="1"/>
        <rFont val="Arial"/>
      </rPr>
      <t xml:space="preserve"> Avoided (MTCO</t>
    </r>
    <r>
      <rPr>
        <b/>
        <vertAlign val="subscript"/>
        <sz val="10"/>
        <color theme="1"/>
        <rFont val="Arial"/>
      </rPr>
      <t>2</t>
    </r>
    <r>
      <rPr>
        <b/>
        <sz val="10"/>
        <color theme="1"/>
        <rFont val="Arial"/>
      </rPr>
      <t>E)</t>
    </r>
  </si>
  <si>
    <r>
      <rPr>
        <b/>
        <sz val="10"/>
        <color theme="1"/>
        <rFont val="Arial"/>
      </rPr>
      <t>Landfill Gas-to-Energy (MTCE)</t>
    </r>
  </si>
  <si>
    <r>
      <rPr>
        <b/>
        <sz val="10"/>
        <color theme="1"/>
        <rFont val="Arial"/>
      </rPr>
      <t>Potential CH</t>
    </r>
    <r>
      <rPr>
        <b/>
        <vertAlign val="subscript"/>
        <sz val="10"/>
        <color theme="1"/>
        <rFont val="Arial"/>
      </rPr>
      <t xml:space="preserve">4 </t>
    </r>
    <r>
      <rPr>
        <b/>
        <sz val="10"/>
        <color theme="1"/>
        <rFont val="Arial"/>
      </rPr>
      <t>(MTCE)</t>
    </r>
  </si>
  <si>
    <r>
      <rPr>
        <b/>
        <sz val="10"/>
        <color theme="1"/>
        <rFont val="Arial"/>
      </rPr>
      <t>CH</t>
    </r>
    <r>
      <rPr>
        <b/>
        <vertAlign val="subscript"/>
        <sz val="10"/>
        <color theme="1"/>
        <rFont val="Arial"/>
      </rPr>
      <t>4</t>
    </r>
    <r>
      <rPr>
        <b/>
        <sz val="10"/>
        <color theme="1"/>
        <rFont val="Arial"/>
      </rPr>
      <t xml:space="preserve"> Avoided (MTCE)</t>
    </r>
  </si>
  <si>
    <t>Oxidation at MSW Landfills (tons)</t>
  </si>
  <si>
    <r>
      <rPr>
        <sz val="10"/>
        <color theme="1"/>
        <rFont val="Arial"/>
      </rPr>
      <t>CH</t>
    </r>
    <r>
      <rPr>
        <vertAlign val="subscript"/>
        <sz val="10"/>
        <color theme="1"/>
        <rFont val="Arial"/>
      </rPr>
      <t>4</t>
    </r>
    <r>
      <rPr>
        <sz val="10"/>
        <color theme="1"/>
        <rFont val="Arial"/>
      </rPr>
      <t xml:space="preserve"> GWP</t>
    </r>
  </si>
  <si>
    <r>
      <rPr>
        <b/>
        <sz val="10"/>
        <color theme="1"/>
        <rFont val="Arial"/>
      </rPr>
      <t>Oxidation at MSW Landfills (MTCO</t>
    </r>
    <r>
      <rPr>
        <b/>
        <vertAlign val="subscript"/>
        <sz val="10"/>
        <color theme="1"/>
        <rFont val="Arial"/>
      </rPr>
      <t>2</t>
    </r>
    <r>
      <rPr>
        <b/>
        <sz val="10"/>
        <color theme="1"/>
        <rFont val="Arial"/>
      </rPr>
      <t>E)</t>
    </r>
  </si>
  <si>
    <r>
      <rPr>
        <b/>
        <sz val="10"/>
        <color theme="1"/>
        <rFont val="Arial"/>
      </rPr>
      <t>Oxidation at MSW Landfills (MTCE)</t>
    </r>
  </si>
  <si>
    <r>
      <rPr>
        <b/>
        <sz val="10"/>
        <color theme="1"/>
        <rFont val="Arial"/>
      </rPr>
      <t>Oxidation at Industrial Landfills (MTCO</t>
    </r>
    <r>
      <rPr>
        <b/>
        <vertAlign val="subscript"/>
        <sz val="10"/>
        <color theme="1"/>
        <rFont val="Arial"/>
      </rPr>
      <t>2</t>
    </r>
    <r>
      <rPr>
        <b/>
        <sz val="10"/>
        <color theme="1"/>
        <rFont val="Arial"/>
      </rPr>
      <t>E)</t>
    </r>
  </si>
  <si>
    <r>
      <rPr>
        <b/>
        <sz val="10"/>
        <color theme="1"/>
        <rFont val="Arial"/>
      </rPr>
      <t>Oxidation at Industrial Landfills (MTCE)</t>
    </r>
  </si>
  <si>
    <r>
      <rPr>
        <b/>
        <sz val="10"/>
        <color theme="1"/>
        <rFont val="Arial"/>
      </rPr>
      <t>Total CH</t>
    </r>
    <r>
      <rPr>
        <b/>
        <vertAlign val="subscript"/>
        <sz val="10"/>
        <color theme="1"/>
        <rFont val="Arial"/>
      </rPr>
      <t>4</t>
    </r>
    <r>
      <rPr>
        <b/>
        <sz val="10"/>
        <color theme="1"/>
        <rFont val="Arial"/>
      </rPr>
      <t xml:space="preserve"> Emissions (MTCO</t>
    </r>
    <r>
      <rPr>
        <b/>
        <vertAlign val="subscript"/>
        <sz val="10"/>
        <color theme="1"/>
        <rFont val="Arial"/>
      </rPr>
      <t>2</t>
    </r>
    <r>
      <rPr>
        <b/>
        <sz val="10"/>
        <color theme="1"/>
        <rFont val="Arial"/>
      </rPr>
      <t>E)</t>
    </r>
  </si>
  <si>
    <r>
      <rPr>
        <b/>
        <sz val="10"/>
        <color rgb="FFFF6600"/>
        <rFont val="Arial"/>
      </rPr>
      <t>CO</t>
    </r>
    <r>
      <rPr>
        <b/>
        <vertAlign val="subscript"/>
        <sz val="10"/>
        <color rgb="FFFF6600"/>
        <rFont val="Arial"/>
      </rPr>
      <t>2</t>
    </r>
    <r>
      <rPr>
        <b/>
        <sz val="10"/>
        <color rgb="FFFF6600"/>
        <rFont val="Arial"/>
      </rPr>
      <t xml:space="preserve"> Emission from (Flaring + LFGTE) (MTCO2E)</t>
    </r>
  </si>
  <si>
    <r>
      <rPr>
        <b/>
        <sz val="10"/>
        <color theme="1"/>
        <rFont val="Arial"/>
      </rPr>
      <t>Total CO</t>
    </r>
    <r>
      <rPr>
        <b/>
        <vertAlign val="subscript"/>
        <sz val="10"/>
        <color theme="1"/>
        <rFont val="Arial"/>
      </rPr>
      <t>2</t>
    </r>
    <r>
      <rPr>
        <b/>
        <sz val="10"/>
        <color theme="1"/>
        <rFont val="Arial"/>
      </rPr>
      <t xml:space="preserve"> Emissions (MMTCO2E)</t>
    </r>
  </si>
  <si>
    <r>
      <rPr>
        <b/>
        <sz val="10"/>
        <color rgb="FFFF0000"/>
        <rFont val="Arial"/>
      </rPr>
      <t>Total CH</t>
    </r>
    <r>
      <rPr>
        <b/>
        <vertAlign val="subscript"/>
        <sz val="10"/>
        <color rgb="FFFF0000"/>
        <rFont val="Arial"/>
      </rPr>
      <t>4</t>
    </r>
    <r>
      <rPr>
        <b/>
        <sz val="10"/>
        <color rgb="FFFF0000"/>
        <rFont val="Arial"/>
      </rPr>
      <t xml:space="preserve"> Emissions (MMTCO</t>
    </r>
    <r>
      <rPr>
        <b/>
        <vertAlign val="subscript"/>
        <sz val="10"/>
        <color rgb="FFFF0000"/>
        <rFont val="Arial"/>
      </rPr>
      <t>2</t>
    </r>
    <r>
      <rPr>
        <b/>
        <sz val="10"/>
        <color rgb="FFFF0000"/>
        <rFont val="Arial"/>
      </rPr>
      <t>E)</t>
    </r>
  </si>
  <si>
    <t>Incinerator Emissions</t>
  </si>
  <si>
    <t>Incinerator #1</t>
  </si>
  <si>
    <t>Incinerator #4</t>
  </si>
  <si>
    <t>Incinerator #5</t>
  </si>
  <si>
    <t>Incinerator #6</t>
  </si>
  <si>
    <r>
      <rPr>
        <b/>
        <sz val="10"/>
        <color theme="1"/>
        <rFont val="Arial"/>
      </rPr>
      <t>CO</t>
    </r>
    <r>
      <rPr>
        <b/>
        <vertAlign val="subscript"/>
        <sz val="10"/>
        <color theme="1"/>
        <rFont val="Arial"/>
      </rPr>
      <t xml:space="preserve">2 </t>
    </r>
    <r>
      <rPr>
        <b/>
        <sz val="10"/>
        <color theme="1"/>
        <rFont val="Arial"/>
      </rPr>
      <t>Emissions</t>
    </r>
  </si>
  <si>
    <r>
      <rPr>
        <b/>
        <sz val="10"/>
        <color theme="1"/>
        <rFont val="Arial"/>
      </rPr>
      <t>Natural Gas Usage (ft</t>
    </r>
    <r>
      <rPr>
        <b/>
        <vertAlign val="superscript"/>
        <sz val="10"/>
        <color theme="1"/>
        <rFont val="Arial"/>
      </rPr>
      <t>3</t>
    </r>
    <r>
      <rPr>
        <b/>
        <sz val="10"/>
        <color theme="1"/>
        <rFont val="Arial"/>
      </rPr>
      <t>)</t>
    </r>
  </si>
  <si>
    <t>Fort Detrick</t>
  </si>
  <si>
    <t>MSW Processed (tons)</t>
  </si>
  <si>
    <t>Harford Resources Recovery</t>
  </si>
  <si>
    <t xml:space="preserve">Montgomery Resource Recovery </t>
  </si>
  <si>
    <t>Wheelabrator Baltimore</t>
  </si>
  <si>
    <t>Natural Gas Usage (ft3)</t>
  </si>
  <si>
    <r>
      <rPr>
        <sz val="8"/>
        <color theme="1"/>
        <rFont val="Arial"/>
      </rPr>
      <t>CO</t>
    </r>
    <r>
      <rPr>
        <vertAlign val="subscript"/>
        <sz val="8"/>
        <color theme="1"/>
        <rFont val="Arial"/>
      </rPr>
      <t>2</t>
    </r>
    <r>
      <rPr>
        <sz val="8"/>
        <color theme="1"/>
        <rFont val="Arial"/>
      </rPr>
      <t xml:space="preserve"> (metric tons)</t>
    </r>
  </si>
  <si>
    <r>
      <rPr>
        <sz val="8"/>
        <color theme="1"/>
        <rFont val="Arial"/>
      </rPr>
      <t>CO</t>
    </r>
    <r>
      <rPr>
        <vertAlign val="subscript"/>
        <sz val="8"/>
        <color theme="1"/>
        <rFont val="Arial"/>
      </rPr>
      <t>2</t>
    </r>
    <r>
      <rPr>
        <sz val="8"/>
        <color theme="1"/>
        <rFont val="Arial"/>
      </rPr>
      <t xml:space="preserve"> (MMTCO</t>
    </r>
    <r>
      <rPr>
        <vertAlign val="subscript"/>
        <sz val="8"/>
        <color theme="1"/>
        <rFont val="Arial"/>
      </rPr>
      <t>2</t>
    </r>
    <r>
      <rPr>
        <sz val="8"/>
        <color theme="1"/>
        <rFont val="Arial"/>
      </rPr>
      <t>E)</t>
    </r>
  </si>
  <si>
    <t>MSW</t>
  </si>
  <si>
    <t>Default high Heat Value (mmbtu/S tons)</t>
  </si>
  <si>
    <r>
      <rPr>
        <sz val="8"/>
        <color theme="1"/>
        <rFont val="Arial"/>
      </rPr>
      <t>Default CO</t>
    </r>
    <r>
      <rPr>
        <vertAlign val="subscript"/>
        <sz val="10"/>
        <color theme="1"/>
        <rFont val="Arial"/>
      </rPr>
      <t>2</t>
    </r>
    <r>
      <rPr>
        <sz val="8"/>
        <color theme="1"/>
        <rFont val="Arial"/>
      </rPr>
      <t xml:space="preserve"> Emission factor (kg /mmbtu)</t>
    </r>
  </si>
  <si>
    <r>
      <rPr>
        <sz val="8"/>
        <color theme="1"/>
        <rFont val="Arial"/>
      </rPr>
      <t>CO</t>
    </r>
    <r>
      <rPr>
        <vertAlign val="subscript"/>
        <sz val="10"/>
        <color theme="1"/>
        <rFont val="Arial"/>
      </rPr>
      <t>2</t>
    </r>
    <r>
      <rPr>
        <sz val="8"/>
        <color theme="1"/>
        <rFont val="Arial"/>
      </rPr>
      <t xml:space="preserve"> Emissions ( tons/yr)</t>
    </r>
  </si>
  <si>
    <r>
      <rPr>
        <sz val="8"/>
        <color theme="1"/>
        <rFont val="Arial"/>
      </rPr>
      <t>CO</t>
    </r>
    <r>
      <rPr>
        <vertAlign val="subscript"/>
        <sz val="10"/>
        <color theme="1"/>
        <rFont val="Arial"/>
      </rPr>
      <t>2</t>
    </r>
    <r>
      <rPr>
        <sz val="8"/>
        <color theme="1"/>
        <rFont val="Arial"/>
      </rPr>
      <t xml:space="preserve"> Emissions ( metric tons/yr)</t>
    </r>
  </si>
  <si>
    <r>
      <rPr>
        <sz val="8"/>
        <color theme="1"/>
        <rFont val="Arial"/>
      </rPr>
      <t>CO</t>
    </r>
    <r>
      <rPr>
        <vertAlign val="subscript"/>
        <sz val="10"/>
        <color theme="1"/>
        <rFont val="Arial"/>
      </rPr>
      <t>2</t>
    </r>
    <r>
      <rPr>
        <sz val="8"/>
        <color theme="1"/>
        <rFont val="Arial"/>
      </rPr>
      <t xml:space="preserve"> Emissions ( million metric tons/yr)</t>
    </r>
  </si>
  <si>
    <r>
      <rPr>
        <sz val="8"/>
        <color theme="1"/>
        <rFont val="Arial"/>
      </rPr>
      <t>Default N</t>
    </r>
    <r>
      <rPr>
        <b/>
        <vertAlign val="subscript"/>
        <sz val="10"/>
        <color theme="1"/>
        <rFont val="Arial"/>
      </rPr>
      <t>2</t>
    </r>
    <r>
      <rPr>
        <sz val="8"/>
        <color theme="1"/>
        <rFont val="Arial"/>
      </rPr>
      <t>O Emission factor (kg /mmbtu)</t>
    </r>
  </si>
  <si>
    <r>
      <rPr>
        <sz val="8"/>
        <color theme="1"/>
        <rFont val="Arial"/>
      </rPr>
      <t>N</t>
    </r>
    <r>
      <rPr>
        <vertAlign val="subscript"/>
        <sz val="10"/>
        <color theme="1"/>
        <rFont val="Arial"/>
      </rPr>
      <t>2</t>
    </r>
    <r>
      <rPr>
        <sz val="8"/>
        <color theme="1"/>
        <rFont val="Arial"/>
      </rPr>
      <t>O Emissions ( metric tons/yr)</t>
    </r>
  </si>
  <si>
    <r>
      <rPr>
        <sz val="8"/>
        <color theme="1"/>
        <rFont val="Arial"/>
      </rPr>
      <t>N</t>
    </r>
    <r>
      <rPr>
        <vertAlign val="subscript"/>
        <sz val="10"/>
        <color theme="1"/>
        <rFont val="Arial"/>
      </rPr>
      <t>2</t>
    </r>
    <r>
      <rPr>
        <sz val="8"/>
        <color theme="1"/>
        <rFont val="Arial"/>
      </rPr>
      <t>O GWP</t>
    </r>
  </si>
  <si>
    <r>
      <rPr>
        <b/>
        <sz val="10"/>
        <color theme="1"/>
        <rFont val="Arial"/>
      </rPr>
      <t>N</t>
    </r>
    <r>
      <rPr>
        <b/>
        <vertAlign val="subscript"/>
        <sz val="10"/>
        <color theme="1"/>
        <rFont val="Arial"/>
      </rPr>
      <t>2</t>
    </r>
    <r>
      <rPr>
        <b/>
        <sz val="10"/>
        <color theme="1"/>
        <rFont val="Arial"/>
      </rPr>
      <t>O Emissions ( MMTCO</t>
    </r>
    <r>
      <rPr>
        <b/>
        <vertAlign val="subscript"/>
        <sz val="10"/>
        <color theme="1"/>
        <rFont val="Arial"/>
      </rPr>
      <t>2</t>
    </r>
    <r>
      <rPr>
        <b/>
        <sz val="10"/>
        <color theme="1"/>
        <rFont val="Arial"/>
      </rPr>
      <t>E)</t>
    </r>
  </si>
  <si>
    <t>Residential Open Burning - Leaves, Brush, MSW</t>
  </si>
  <si>
    <r>
      <rPr>
        <b/>
        <sz val="11"/>
        <color theme="1"/>
        <rFont val="Calibri"/>
      </rPr>
      <t>(MMTCO</t>
    </r>
    <r>
      <rPr>
        <b/>
        <vertAlign val="subscript"/>
        <sz val="11"/>
        <color theme="1"/>
        <rFont val="Calibri"/>
      </rPr>
      <t>2</t>
    </r>
    <r>
      <rPr>
        <b/>
        <sz val="11"/>
        <color theme="1"/>
        <rFont val="Calibri"/>
      </rPr>
      <t>E)</t>
    </r>
  </si>
  <si>
    <t>Open Burning</t>
  </si>
  <si>
    <t>Emissions from Natural Gas Activities in MD</t>
  </si>
  <si>
    <t>Natural Gas - Production</t>
  </si>
  <si>
    <t>Activity Data</t>
  </si>
  <si>
    <r>
      <rPr>
        <b/>
        <sz val="8"/>
        <color theme="1"/>
        <rFont val="Comic Sans MS"/>
      </rPr>
      <t>Metric Tons CH</t>
    </r>
    <r>
      <rPr>
        <b/>
        <vertAlign val="subscript"/>
        <sz val="8"/>
        <color theme="1"/>
        <rFont val="Comic Sans MS"/>
      </rPr>
      <t>4</t>
    </r>
  </si>
  <si>
    <r>
      <rPr>
        <b/>
        <sz val="8"/>
        <color theme="1"/>
        <rFont val="Comic Sans MS"/>
      </rPr>
      <t>MMTCO</t>
    </r>
    <r>
      <rPr>
        <b/>
        <vertAlign val="subscript"/>
        <sz val="8"/>
        <color theme="1"/>
        <rFont val="Comic Sans MS"/>
      </rPr>
      <t>2</t>
    </r>
    <r>
      <rPr>
        <b/>
        <sz val="8"/>
        <color theme="1"/>
        <rFont val="Comic Sans MS"/>
      </rPr>
      <t>E</t>
    </r>
  </si>
  <si>
    <r>
      <rPr>
        <sz val="8"/>
        <color theme="1"/>
        <rFont val="Comic Sans MS"/>
      </rPr>
      <t>metric tons CH</t>
    </r>
    <r>
      <rPr>
        <vertAlign val="subscript"/>
        <sz val="8"/>
        <color theme="1"/>
        <rFont val="Comic Sans MS"/>
      </rPr>
      <t>4</t>
    </r>
    <r>
      <rPr>
        <sz val="8"/>
        <color theme="1"/>
        <rFont val="Comic Sans MS"/>
      </rPr>
      <t xml:space="preserve"> per year per activity unit</t>
    </r>
  </si>
  <si>
    <t>Total number of wells</t>
  </si>
  <si>
    <t>Number of off-shore platforms not in the Gulf of Mexico</t>
  </si>
  <si>
    <t xml:space="preserve">Total  </t>
  </si>
  <si>
    <t>Number of Wells from EIA, " Natural Gas Navigator- Maryland Natural Gas Number of Gas and Gas Condensate Wells" acccessed from: http://tonto.eia.doe.gov/dnav/ng/hist/na1170_smd_8a.htm</t>
  </si>
  <si>
    <r>
      <rPr>
        <sz val="8"/>
        <color theme="1"/>
        <rFont val="Arial"/>
      </rPr>
      <t>Emission factor from US EP</t>
    </r>
    <r>
      <rPr>
        <sz val="10"/>
        <color theme="1"/>
        <rFont val="Arial"/>
      </rPr>
      <t>A, Emissions Inventory Improvements Program,</t>
    </r>
    <r>
      <rPr>
        <i/>
        <sz val="10"/>
        <color theme="1"/>
        <rFont val="Arial"/>
      </rPr>
      <t xml:space="preserve"> Volume VII: Chpater 5. Methods for Estimating Methane Emissions from Natural Gas and Oil Systems. </t>
    </r>
    <r>
      <rPr>
        <sz val="10"/>
        <color theme="1"/>
        <rFont val="Arial"/>
      </rPr>
      <t>This factor represents emissions not just from wells but also from pneumatic devices, dehydrator vents, Kimray pumps, gas engines, and well clean-ups</t>
    </r>
  </si>
  <si>
    <t>Natural Gas - Distribution</t>
  </si>
  <si>
    <r>
      <rPr>
        <b/>
        <sz val="7"/>
        <color theme="1"/>
        <rFont val="Comic Sans MS"/>
      </rPr>
      <t>Metric Tons CH</t>
    </r>
    <r>
      <rPr>
        <b/>
        <vertAlign val="subscript"/>
        <sz val="7"/>
        <color theme="1"/>
        <rFont val="Comic Sans MS"/>
      </rPr>
      <t>4</t>
    </r>
  </si>
  <si>
    <r>
      <rPr>
        <b/>
        <sz val="7"/>
        <color theme="1"/>
        <rFont val="Comic Sans MS"/>
      </rPr>
      <t>MMTCO</t>
    </r>
    <r>
      <rPr>
        <b/>
        <vertAlign val="subscript"/>
        <sz val="7"/>
        <color theme="1"/>
        <rFont val="Comic Sans MS"/>
      </rPr>
      <t>2</t>
    </r>
    <r>
      <rPr>
        <b/>
        <sz val="7"/>
        <color theme="1"/>
        <rFont val="Comic Sans MS"/>
      </rPr>
      <t>E</t>
    </r>
  </si>
  <si>
    <t>Distribution pipeline</t>
  </si>
  <si>
    <r>
      <rPr>
        <sz val="7"/>
        <color theme="1"/>
        <rFont val="Comic Sans MS"/>
      </rPr>
      <t>(metric tons CH</t>
    </r>
    <r>
      <rPr>
        <vertAlign val="subscript"/>
        <sz val="7"/>
        <color theme="1"/>
        <rFont val="Comic Sans MS"/>
      </rPr>
      <t>4</t>
    </r>
    <r>
      <rPr>
        <sz val="7"/>
        <color theme="1"/>
        <rFont val="Comic Sans MS"/>
      </rPr>
      <t xml:space="preserve"> per year per activity unit)</t>
    </r>
  </si>
  <si>
    <t>Miles of cast iron distribution pipeline</t>
  </si>
  <si>
    <t>Miles of unprotected steel distribution pipeline</t>
  </si>
  <si>
    <t>Miles of protected steel distribution pipeline</t>
  </si>
  <si>
    <t>Miles of plastic distribution pipeline</t>
  </si>
  <si>
    <t>Services</t>
  </si>
  <si>
    <t>Total number of services</t>
  </si>
  <si>
    <t>Number of unprotected steel services</t>
  </si>
  <si>
    <t>Number of protected steel services</t>
  </si>
  <si>
    <t>Miles of Distribution pipeline from US Department of Transport, Office of Pipeline Safety, "  Distribution and Transmission Annuals data:1990 -2005" . Acess from http://www.phmsa.dot.gov/portal/</t>
  </si>
  <si>
    <r>
      <rPr>
        <sz val="8"/>
        <color theme="1"/>
        <rFont val="Arial"/>
      </rPr>
      <t>All emission factors from US EP</t>
    </r>
    <r>
      <rPr>
        <sz val="10"/>
        <color theme="1"/>
        <rFont val="Arial"/>
      </rPr>
      <t>A, Emissions Inventory Improvements Program,</t>
    </r>
    <r>
      <rPr>
        <i/>
        <sz val="10"/>
        <color theme="1"/>
        <rFont val="Arial"/>
      </rPr>
      <t xml:space="preserve"> Volume VII: Chapter 5. Methods for Estimating Methane Emissions from Natural Gas and Oil Systems. </t>
    </r>
  </si>
  <si>
    <t>Natural Gas - Transmission</t>
  </si>
  <si>
    <r>
      <rPr>
        <b/>
        <sz val="8"/>
        <color theme="1"/>
        <rFont val="Comic Sans MS"/>
      </rPr>
      <t>Metric Tons CH</t>
    </r>
    <r>
      <rPr>
        <b/>
        <vertAlign val="subscript"/>
        <sz val="8"/>
        <color theme="1"/>
        <rFont val="Comic Sans MS"/>
      </rPr>
      <t>4</t>
    </r>
  </si>
  <si>
    <r>
      <rPr>
        <b/>
        <sz val="8"/>
        <color theme="1"/>
        <rFont val="Comic Sans MS"/>
      </rPr>
      <t>MMTCO</t>
    </r>
    <r>
      <rPr>
        <b/>
        <vertAlign val="subscript"/>
        <sz val="8"/>
        <color theme="1"/>
        <rFont val="Comic Sans MS"/>
      </rPr>
      <t>2</t>
    </r>
    <r>
      <rPr>
        <b/>
        <sz val="8"/>
        <color theme="1"/>
        <rFont val="Comic Sans MS"/>
      </rPr>
      <t>E</t>
    </r>
  </si>
  <si>
    <r>
      <rPr>
        <sz val="8"/>
        <color theme="1"/>
        <rFont val="Comic Sans MS"/>
      </rPr>
      <t>metric tons CH</t>
    </r>
    <r>
      <rPr>
        <vertAlign val="subscript"/>
        <sz val="8"/>
        <color theme="1"/>
        <rFont val="Comic Sans MS"/>
      </rPr>
      <t>4</t>
    </r>
    <r>
      <rPr>
        <sz val="8"/>
        <color theme="1"/>
        <rFont val="Comic Sans MS"/>
      </rPr>
      <t xml:space="preserve"> per year per activity unit</t>
    </r>
  </si>
  <si>
    <t>Miles of transmission pipeline</t>
  </si>
  <si>
    <t>Number of gas transmission compressor stations</t>
  </si>
  <si>
    <t>Number of gas storage compressor stations</t>
  </si>
  <si>
    <t xml:space="preserve">Number of LNG storage compressor stations from EIA, US LNG Markets and Uses, http://www.eia.doe.gov/pub/oil_gas/natural_gas/feature_articles/2003/lng/lng2003.pdf </t>
  </si>
  <si>
    <t>Miles of transmission pipeline from US Department of Transport, Office of Pipeline Safety, "  Distribution and Transmission Annuals data:1990 -2005" . Acess from http://www.phmsa.dot.gov/portal/</t>
  </si>
  <si>
    <t>Number of gas transmission compressor stations = miles of transmission pipeline x 0.006 -EIIP, Volume VII: Chapter 5,March 2005</t>
  </si>
  <si>
    <t>Number of gas storage compressor station  = miles of transmission pipeline x 0.0015 -EIIP, Volume VII: Chapter 5,March 2005</t>
  </si>
  <si>
    <r>
      <rPr>
        <sz val="8"/>
        <color theme="1"/>
        <rFont val="Arial"/>
      </rPr>
      <t>All emission factors from US EP</t>
    </r>
    <r>
      <rPr>
        <sz val="10"/>
        <color theme="1"/>
        <rFont val="Arial"/>
      </rPr>
      <t>A, Emissions Inventory Improvements Program,</t>
    </r>
    <r>
      <rPr>
        <i/>
        <sz val="10"/>
        <color theme="1"/>
        <rFont val="Arial"/>
      </rPr>
      <t xml:space="preserve"> Volume VII: Chapter 5. Methods for Estimating Methane Emissions from Natural Gas and Oil Systems. </t>
    </r>
  </si>
  <si>
    <t>Natural Gas - Consumption as Pipeline Fuel</t>
  </si>
  <si>
    <t xml:space="preserve">                         Emission Factors:</t>
  </si>
  <si>
    <t xml:space="preserve"> Combustion</t>
  </si>
  <si>
    <r>
      <rPr>
        <b/>
        <sz val="10"/>
        <color theme="1"/>
        <rFont val="Arial"/>
      </rPr>
      <t>CO</t>
    </r>
    <r>
      <rPr>
        <b/>
        <vertAlign val="subscript"/>
        <sz val="10"/>
        <color theme="1"/>
        <rFont val="Arial"/>
      </rPr>
      <t>2</t>
    </r>
    <r>
      <rPr>
        <b/>
        <sz val="10"/>
        <color theme="1"/>
        <rFont val="Arial"/>
      </rPr>
      <t xml:space="preserve"> Emissions</t>
    </r>
  </si>
  <si>
    <r>
      <rPr>
        <b/>
        <sz val="10"/>
        <color theme="1"/>
        <rFont val="Arial"/>
      </rPr>
      <t>N</t>
    </r>
    <r>
      <rPr>
        <b/>
        <vertAlign val="subscript"/>
        <sz val="10"/>
        <color theme="1"/>
        <rFont val="Arial"/>
      </rPr>
      <t>2</t>
    </r>
    <r>
      <rPr>
        <b/>
        <sz val="10"/>
        <color theme="1"/>
        <rFont val="Arial"/>
      </rPr>
      <t>O Emissions</t>
    </r>
  </si>
  <si>
    <r>
      <rPr>
        <b/>
        <sz val="10"/>
        <color theme="1"/>
        <rFont val="Arial"/>
      </rPr>
      <t>CH</t>
    </r>
    <r>
      <rPr>
        <b/>
        <vertAlign val="subscript"/>
        <sz val="10"/>
        <color theme="1"/>
        <rFont val="Arial"/>
      </rPr>
      <t>4</t>
    </r>
    <r>
      <rPr>
        <b/>
        <sz val="10"/>
        <color theme="1"/>
        <rFont val="Arial"/>
      </rPr>
      <t xml:space="preserve"> Emissions</t>
    </r>
  </si>
  <si>
    <t>GHG Emissions</t>
  </si>
  <si>
    <t>NG Consumption</t>
  </si>
  <si>
    <t>(Billion Btus)</t>
  </si>
  <si>
    <r>
      <rPr>
        <b/>
        <sz val="10"/>
        <color theme="1"/>
        <rFont val="Arial"/>
      </rPr>
      <t>N</t>
    </r>
    <r>
      <rPr>
        <b/>
        <vertAlign val="subscript"/>
        <sz val="10"/>
        <color theme="1"/>
        <rFont val="Arial"/>
      </rPr>
      <t>2</t>
    </r>
    <r>
      <rPr>
        <b/>
        <sz val="10"/>
        <color theme="1"/>
        <rFont val="Arial"/>
      </rPr>
      <t>O</t>
    </r>
  </si>
  <si>
    <r>
      <rPr>
        <b/>
        <sz val="10"/>
        <color theme="1"/>
        <rFont val="Arial"/>
      </rPr>
      <t>CH</t>
    </r>
    <r>
      <rPr>
        <b/>
        <vertAlign val="subscript"/>
        <sz val="10"/>
        <color theme="1"/>
        <rFont val="Arial"/>
      </rPr>
      <t>4</t>
    </r>
  </si>
  <si>
    <r>
      <rPr>
        <b/>
        <sz val="10"/>
        <color theme="1"/>
        <rFont val="Arial"/>
      </rPr>
      <t>(MMTCO</t>
    </r>
    <r>
      <rPr>
        <b/>
        <vertAlign val="subscript"/>
        <sz val="10"/>
        <color theme="1"/>
        <rFont val="Arial"/>
      </rPr>
      <t>2</t>
    </r>
    <r>
      <rPr>
        <b/>
        <sz val="10"/>
        <color theme="1"/>
        <rFont val="Arial"/>
      </rPr>
      <t>E)</t>
    </r>
  </si>
  <si>
    <r>
      <rPr>
        <b/>
        <sz val="10"/>
        <color theme="1"/>
        <rFont val="Arial"/>
      </rPr>
      <t>(MMTCO</t>
    </r>
    <r>
      <rPr>
        <b/>
        <vertAlign val="subscript"/>
        <sz val="10"/>
        <color theme="1"/>
        <rFont val="Arial"/>
      </rPr>
      <t>2</t>
    </r>
    <r>
      <rPr>
        <b/>
        <sz val="10"/>
        <color theme="1"/>
        <rFont val="Arial"/>
      </rPr>
      <t>E)</t>
    </r>
  </si>
  <si>
    <r>
      <rPr>
        <b/>
        <sz val="10"/>
        <color theme="1"/>
        <rFont val="Arial"/>
      </rPr>
      <t>(MMTCO</t>
    </r>
    <r>
      <rPr>
        <b/>
        <vertAlign val="subscript"/>
        <sz val="10"/>
        <color theme="1"/>
        <rFont val="Arial"/>
      </rPr>
      <t>2</t>
    </r>
    <r>
      <rPr>
        <b/>
        <sz val="10"/>
        <color theme="1"/>
        <rFont val="Arial"/>
      </rPr>
      <t>E)</t>
    </r>
  </si>
  <si>
    <t>(lbs/MMBtu)</t>
  </si>
  <si>
    <t>(Mt/BBtu)</t>
  </si>
  <si>
    <t>NGPZB (Billion Btus)</t>
  </si>
  <si>
    <t>NGPZB (Million Btus)</t>
  </si>
  <si>
    <t xml:space="preserve">Natural Gas as Pipeline Fuel Activity Data (Billion Btu)  was obtained from: http://www.eia.doe.gov/states/sep_fuel/html/csv/fuel_adjust_consum.csv </t>
  </si>
  <si>
    <r>
      <rPr>
        <b/>
        <sz val="8"/>
        <color theme="1"/>
        <rFont val="Comic Sans MS"/>
      </rPr>
      <t>Emissions by Gas (MMTCO</t>
    </r>
    <r>
      <rPr>
        <b/>
        <vertAlign val="subscript"/>
        <sz val="8"/>
        <color theme="1"/>
        <rFont val="Comic Sans MS"/>
      </rPr>
      <t>2</t>
    </r>
    <r>
      <rPr>
        <b/>
        <sz val="8"/>
        <color theme="1"/>
        <rFont val="Comic Sans MS"/>
      </rPr>
      <t>e)</t>
    </r>
  </si>
  <si>
    <t>Transmission</t>
  </si>
  <si>
    <t>Distribution</t>
  </si>
  <si>
    <t>Pipeline Fuel</t>
  </si>
  <si>
    <t>Emissions from Mining in MD</t>
  </si>
  <si>
    <t>CH4 from Coal Mining in MD</t>
  </si>
  <si>
    <t>Emissions from:</t>
  </si>
  <si>
    <t>Coal Basin(s)                            (if applicable)</t>
  </si>
  <si>
    <t>Measured Ventilation Emissions
(mcf)</t>
  </si>
  <si>
    <t>Degasification System Emissions
(mcf)</t>
  </si>
  <si>
    <t>Methane Recovered from Degasification Systems and Usef for Energy
(mcf)</t>
  </si>
  <si>
    <r>
      <rPr>
        <b/>
        <sz val="7"/>
        <color theme="1"/>
        <rFont val="Calibri"/>
      </rPr>
      <t>Emissions
(mcf CH</t>
    </r>
    <r>
      <rPr>
        <b/>
        <vertAlign val="subscript"/>
        <sz val="7"/>
        <color theme="1"/>
        <rFont val="Calibri"/>
      </rPr>
      <t>4</t>
    </r>
    <r>
      <rPr>
        <b/>
        <sz val="7"/>
        <color theme="1"/>
        <rFont val="Calibri"/>
      </rPr>
      <t>)</t>
    </r>
  </si>
  <si>
    <r>
      <rPr>
        <b/>
        <sz val="7"/>
        <color theme="1"/>
        <rFont val="Calibri"/>
      </rPr>
      <t>Emissions
(MTCH</t>
    </r>
    <r>
      <rPr>
        <b/>
        <vertAlign val="subscript"/>
        <sz val="7"/>
        <color theme="1"/>
        <rFont val="Calibri"/>
      </rPr>
      <t>4</t>
    </r>
    <r>
      <rPr>
        <b/>
        <sz val="7"/>
        <color theme="1"/>
        <rFont val="Calibri"/>
      </rPr>
      <t>)</t>
    </r>
  </si>
  <si>
    <r>
      <rPr>
        <b/>
        <sz val="7"/>
        <color theme="1"/>
        <rFont val="Calibri"/>
      </rPr>
      <t>Emissions
(MTCO</t>
    </r>
    <r>
      <rPr>
        <b/>
        <vertAlign val="subscript"/>
        <sz val="7"/>
        <color theme="1"/>
        <rFont val="Calibri"/>
      </rPr>
      <t>2</t>
    </r>
    <r>
      <rPr>
        <b/>
        <sz val="7"/>
        <color theme="1"/>
        <rFont val="Calibri"/>
      </rPr>
      <t>E)</t>
    </r>
  </si>
  <si>
    <t>Mines</t>
  </si>
  <si>
    <t>Underground Mines</t>
  </si>
  <si>
    <t>-</t>
  </si>
  <si>
    <t>Surface Coal Production
('000 short tons)</t>
  </si>
  <si>
    <r>
      <rPr>
        <b/>
        <sz val="7"/>
        <color theme="1"/>
        <rFont val="Calibri"/>
      </rPr>
      <t>Basin-specific EF
(ft</t>
    </r>
    <r>
      <rPr>
        <b/>
        <vertAlign val="superscript"/>
        <sz val="7"/>
        <color theme="1"/>
        <rFont val="Calibri"/>
      </rPr>
      <t>3</t>
    </r>
    <r>
      <rPr>
        <b/>
        <sz val="7"/>
        <color theme="1"/>
        <rFont val="Calibri"/>
      </rPr>
      <t>/short ton)</t>
    </r>
  </si>
  <si>
    <r>
      <rPr>
        <b/>
        <sz val="7"/>
        <color theme="1"/>
        <rFont val="Calibri"/>
      </rPr>
      <t>Emissions
('000 ft</t>
    </r>
    <r>
      <rPr>
        <b/>
        <vertAlign val="superscript"/>
        <sz val="7"/>
        <color theme="1"/>
        <rFont val="Calibri"/>
      </rPr>
      <t>3</t>
    </r>
    <r>
      <rPr>
        <b/>
        <sz val="7"/>
        <color theme="1"/>
        <rFont val="Calibri"/>
      </rPr>
      <t xml:space="preserve"> CH</t>
    </r>
    <r>
      <rPr>
        <b/>
        <vertAlign val="subscript"/>
        <sz val="7"/>
        <color theme="1"/>
        <rFont val="Calibri"/>
      </rPr>
      <t>4</t>
    </r>
    <r>
      <rPr>
        <b/>
        <sz val="7"/>
        <color theme="1"/>
        <rFont val="Calibri"/>
      </rPr>
      <t>)</t>
    </r>
  </si>
  <si>
    <r>
      <rPr>
        <b/>
        <sz val="7"/>
        <color theme="1"/>
        <rFont val="Calibri"/>
      </rPr>
      <t>Emissions
(MTCH</t>
    </r>
    <r>
      <rPr>
        <b/>
        <vertAlign val="subscript"/>
        <sz val="7"/>
        <color theme="1"/>
        <rFont val="Calibri"/>
      </rPr>
      <t>4</t>
    </r>
    <r>
      <rPr>
        <b/>
        <sz val="7"/>
        <color theme="1"/>
        <rFont val="Calibri"/>
      </rPr>
      <t>)</t>
    </r>
  </si>
  <si>
    <r>
      <rPr>
        <b/>
        <sz val="7"/>
        <color theme="1"/>
        <rFont val="Calibri"/>
      </rPr>
      <t>Emissions
(MTCO</t>
    </r>
    <r>
      <rPr>
        <b/>
        <vertAlign val="subscript"/>
        <sz val="7"/>
        <color theme="1"/>
        <rFont val="Calibri"/>
      </rPr>
      <t>2</t>
    </r>
    <r>
      <rPr>
        <b/>
        <sz val="7"/>
        <color theme="1"/>
        <rFont val="Calibri"/>
      </rPr>
      <t>E)</t>
    </r>
  </si>
  <si>
    <t>Surface Mines</t>
  </si>
  <si>
    <t>Northern Appalachian Basin</t>
  </si>
  <si>
    <t>---</t>
  </si>
  <si>
    <t>Post-Mining Activity</t>
  </si>
  <si>
    <t>Coal Production
('000 short tons)</t>
  </si>
  <si>
    <r>
      <rPr>
        <b/>
        <sz val="7"/>
        <color theme="1"/>
        <rFont val="Calibri"/>
      </rPr>
      <t>Basin- &amp; Mine-specific EF
(ft</t>
    </r>
    <r>
      <rPr>
        <b/>
        <vertAlign val="superscript"/>
        <sz val="7"/>
        <color theme="1"/>
        <rFont val="Calibri"/>
      </rPr>
      <t>3</t>
    </r>
    <r>
      <rPr>
        <b/>
        <sz val="7"/>
        <color theme="1"/>
        <rFont val="Calibri"/>
      </rPr>
      <t>/short ton)</t>
    </r>
  </si>
  <si>
    <r>
      <rPr>
        <b/>
        <sz val="7"/>
        <color theme="1"/>
        <rFont val="Calibri"/>
      </rPr>
      <t>Emissions
('000 ft</t>
    </r>
    <r>
      <rPr>
        <b/>
        <vertAlign val="superscript"/>
        <sz val="7"/>
        <color theme="1"/>
        <rFont val="Calibri"/>
      </rPr>
      <t>3</t>
    </r>
    <r>
      <rPr>
        <b/>
        <sz val="7"/>
        <color theme="1"/>
        <rFont val="Calibri"/>
      </rPr>
      <t xml:space="preserve"> CH</t>
    </r>
    <r>
      <rPr>
        <b/>
        <vertAlign val="subscript"/>
        <sz val="7"/>
        <color theme="1"/>
        <rFont val="Calibri"/>
      </rPr>
      <t>4</t>
    </r>
    <r>
      <rPr>
        <b/>
        <sz val="7"/>
        <color theme="1"/>
        <rFont val="Calibri"/>
      </rPr>
      <t>)</t>
    </r>
  </si>
  <si>
    <r>
      <rPr>
        <b/>
        <sz val="7"/>
        <color theme="1"/>
        <rFont val="Calibri"/>
      </rPr>
      <t>Emissions
(MTCH</t>
    </r>
    <r>
      <rPr>
        <b/>
        <vertAlign val="subscript"/>
        <sz val="7"/>
        <color theme="1"/>
        <rFont val="Calibri"/>
      </rPr>
      <t>4</t>
    </r>
    <r>
      <rPr>
        <b/>
        <sz val="7"/>
        <color theme="1"/>
        <rFont val="Calibri"/>
      </rPr>
      <t>)</t>
    </r>
  </si>
  <si>
    <r>
      <rPr>
        <b/>
        <sz val="7"/>
        <color theme="1"/>
        <rFont val="Calibri"/>
      </rPr>
      <t>Emissions
(MTCO</t>
    </r>
    <r>
      <rPr>
        <b/>
        <vertAlign val="subscript"/>
        <sz val="7"/>
        <color theme="1"/>
        <rFont val="Calibri"/>
      </rPr>
      <t>2</t>
    </r>
    <r>
      <rPr>
        <b/>
        <sz val="7"/>
        <color theme="1"/>
        <rFont val="Calibri"/>
      </rPr>
      <t>E)</t>
    </r>
  </si>
  <si>
    <t>Post-Mining Total</t>
  </si>
  <si>
    <t>Total Coal Mining</t>
  </si>
  <si>
    <r>
      <rPr>
        <b/>
        <sz val="7"/>
        <color theme="1"/>
        <rFont val="Calibri"/>
      </rPr>
      <t>(MTCO</t>
    </r>
    <r>
      <rPr>
        <b/>
        <vertAlign val="subscript"/>
        <sz val="7"/>
        <color theme="1"/>
        <rFont val="Calibri"/>
      </rPr>
      <t>2</t>
    </r>
    <r>
      <rPr>
        <b/>
        <sz val="7"/>
        <color theme="1"/>
        <rFont val="Calibri"/>
      </rPr>
      <t>E)</t>
    </r>
  </si>
  <si>
    <t>Maryland Abandoned Coal Mines Emissions Summary</t>
  </si>
  <si>
    <t>Default MD Abandoned Mine Emissions
Gg/Year</t>
  </si>
  <si>
    <t xml:space="preserve">Mine Status
Percent </t>
  </si>
  <si>
    <r>
      <rPr>
        <b/>
        <sz val="7"/>
        <color theme="1"/>
        <rFont val="Calibri"/>
      </rPr>
      <t>Emissions
(MTCH</t>
    </r>
    <r>
      <rPr>
        <b/>
        <vertAlign val="subscript"/>
        <sz val="7"/>
        <color theme="1"/>
        <rFont val="Calibri"/>
      </rPr>
      <t>4</t>
    </r>
    <r>
      <rPr>
        <b/>
        <sz val="7"/>
        <color theme="1"/>
        <rFont val="Calibri"/>
      </rPr>
      <t>)</t>
    </r>
  </si>
  <si>
    <r>
      <rPr>
        <b/>
        <sz val="7"/>
        <color theme="1"/>
        <rFont val="Calibri"/>
      </rPr>
      <t>Emissions
(MTCO</t>
    </r>
    <r>
      <rPr>
        <b/>
        <vertAlign val="subscript"/>
        <sz val="7"/>
        <color theme="1"/>
        <rFont val="Calibri"/>
      </rPr>
      <t>2</t>
    </r>
    <r>
      <rPr>
        <b/>
        <sz val="7"/>
        <color theme="1"/>
        <rFont val="Calibri"/>
      </rPr>
      <t>E)</t>
    </r>
  </si>
  <si>
    <t>Vented</t>
  </si>
  <si>
    <t>Sealed</t>
  </si>
  <si>
    <t>Flooded</t>
  </si>
  <si>
    <t>Maryland Coal Mines Emissions Summary</t>
  </si>
  <si>
    <t>Emissions (MMTCO2E)</t>
  </si>
  <si>
    <t>Coal Mining</t>
  </si>
  <si>
    <t>Abandoned Coal Mines</t>
  </si>
  <si>
    <t>Emissions (MTCO2E)</t>
  </si>
  <si>
    <t>Emissions (MTCE)</t>
  </si>
  <si>
    <t>Emissions by Gas (MTCH4)</t>
  </si>
  <si>
    <t>Maryland Wastewater Emissions Summary</t>
  </si>
  <si>
    <t>Maryland Municipal Wastewater Methane Emissions</t>
  </si>
  <si>
    <r>
      <rPr>
        <b/>
        <sz val="7"/>
        <color theme="1"/>
        <rFont val="Calibri"/>
      </rPr>
      <t>Per Capita BOD</t>
    </r>
    <r>
      <rPr>
        <b/>
        <vertAlign val="subscript"/>
        <sz val="7"/>
        <color theme="1"/>
        <rFont val="Calibri"/>
      </rPr>
      <t xml:space="preserve">5
</t>
    </r>
    <r>
      <rPr>
        <b/>
        <sz val="7"/>
        <color theme="1"/>
        <rFont val="Calibri"/>
      </rPr>
      <t>(kg/day)</t>
    </r>
  </si>
  <si>
    <t>Days per Year
(days)</t>
  </si>
  <si>
    <t>Unit Conversion
(metric tons/kg)</t>
  </si>
  <si>
    <t>Emission Factor
(Gg CH4/Gg BOD5)</t>
  </si>
  <si>
    <r>
      <rPr>
        <b/>
        <sz val="7"/>
        <color theme="1"/>
        <rFont val="Calibri"/>
      </rPr>
      <t>WW BOD</t>
    </r>
    <r>
      <rPr>
        <b/>
        <vertAlign val="subscript"/>
        <sz val="7"/>
        <color theme="1"/>
        <rFont val="Calibri"/>
      </rPr>
      <t>5</t>
    </r>
    <r>
      <rPr>
        <b/>
        <sz val="7"/>
        <color theme="1"/>
        <rFont val="Calibri"/>
      </rPr>
      <t xml:space="preserve"> anaerobically digested
(percent)</t>
    </r>
  </si>
  <si>
    <t>Emissions
(metric tons CH4)</t>
  </si>
  <si>
    <r>
      <rPr>
        <b/>
        <sz val="7"/>
        <color theme="1"/>
        <rFont val="Calibri"/>
      </rPr>
      <t>CH</t>
    </r>
    <r>
      <rPr>
        <b/>
        <vertAlign val="subscript"/>
        <sz val="7"/>
        <color theme="1"/>
        <rFont val="Calibri"/>
      </rPr>
      <t xml:space="preserve">4 </t>
    </r>
    <r>
      <rPr>
        <b/>
        <sz val="7"/>
        <color theme="1"/>
        <rFont val="Calibri"/>
      </rPr>
      <t>GWP
(CO2 Eq.)</t>
    </r>
  </si>
  <si>
    <t>Unit Conversion
(MMT/MT)</t>
  </si>
  <si>
    <r>
      <rPr>
        <b/>
        <sz val="7"/>
        <color theme="1"/>
        <rFont val="Calibri"/>
      </rPr>
      <t>C/CO</t>
    </r>
    <r>
      <rPr>
        <b/>
        <vertAlign val="subscript"/>
        <sz val="7"/>
        <color theme="1"/>
        <rFont val="Calibri"/>
      </rPr>
      <t>2</t>
    </r>
  </si>
  <si>
    <t>Emissions
(MMTCE)</t>
  </si>
  <si>
    <t>Emissions
(MMTCO2E)</t>
  </si>
  <si>
    <t>Maryland Direct Nitrous Oxide Emissions from Municipal Wastewater Treatment</t>
  </si>
  <si>
    <t>Fraction of Population not on Septic</t>
  </si>
  <si>
    <t>Direct N2O Emissions from Wastewater Treatment
 (g N2O/person/year)</t>
  </si>
  <si>
    <t>Unit Conversion
(g/metric ton)</t>
  </si>
  <si>
    <t>Emissions
(Metric Tons N2O)</t>
  </si>
  <si>
    <r>
      <rPr>
        <b/>
        <sz val="7"/>
        <color theme="1"/>
        <rFont val="Calibri"/>
      </rPr>
      <t>N</t>
    </r>
    <r>
      <rPr>
        <b/>
        <vertAlign val="subscript"/>
        <sz val="7"/>
        <color theme="1"/>
        <rFont val="Calibri"/>
      </rPr>
      <t>2</t>
    </r>
    <r>
      <rPr>
        <b/>
        <sz val="7"/>
        <color theme="1"/>
        <rFont val="Calibri"/>
      </rPr>
      <t>O GWP
(CO2 Eq.)</t>
    </r>
  </si>
  <si>
    <t xml:space="preserve">Unit Conversion
(MMT/MT)
</t>
  </si>
  <si>
    <r>
      <rPr>
        <b/>
        <sz val="7"/>
        <color theme="1"/>
        <rFont val="Calibri"/>
      </rPr>
      <t>C/CO</t>
    </r>
    <r>
      <rPr>
        <b/>
        <vertAlign val="subscript"/>
        <sz val="7"/>
        <color theme="1"/>
        <rFont val="Calibri"/>
      </rPr>
      <t>2</t>
    </r>
  </si>
  <si>
    <t>Maryland Effulent Nitrous Oxide Emissions from Municipal Wastewater Treatment</t>
  </si>
  <si>
    <t>Protein
(kg/ person/ year)</t>
  </si>
  <si>
    <r>
      <rPr>
        <b/>
        <sz val="7"/>
        <color theme="1"/>
        <rFont val="Comic Sans MS"/>
      </rPr>
      <t>Frac</t>
    </r>
    <r>
      <rPr>
        <b/>
        <vertAlign val="subscript"/>
        <sz val="7"/>
        <color theme="1"/>
        <rFont val="Comic Sans MS"/>
      </rPr>
      <t xml:space="preserve">NPR 
</t>
    </r>
    <r>
      <rPr>
        <b/>
        <sz val="7"/>
        <color theme="1"/>
        <rFont val="Comic Sans MS"/>
      </rPr>
      <t xml:space="preserve">(kg N/kg protein) </t>
    </r>
  </si>
  <si>
    <t>Fraction Non-Consumption N</t>
  </si>
  <si>
    <t>N in Domestic Wastewater
(metric tons)</t>
  </si>
  <si>
    <t>Direct N Emissions from Domestic Wastewater
(metric tons)</t>
  </si>
  <si>
    <t>Biosolids Available N
(metric tons)</t>
  </si>
  <si>
    <t>Percentage of Biosolids Used as Fertilizer</t>
  </si>
  <si>
    <t xml:space="preserve">Emission Factor
(kg N2O-N/ kg sewage N-produced) </t>
  </si>
  <si>
    <r>
      <rPr>
        <b/>
        <sz val="7"/>
        <color theme="1"/>
        <rFont val="Comic Sans MS"/>
      </rPr>
      <t>N</t>
    </r>
    <r>
      <rPr>
        <b/>
        <vertAlign val="subscript"/>
        <sz val="7"/>
        <color theme="1"/>
        <rFont val="Comic Sans MS"/>
      </rPr>
      <t>2</t>
    </r>
    <r>
      <rPr>
        <b/>
        <sz val="7"/>
        <color theme="1"/>
        <rFont val="Comic Sans MS"/>
      </rPr>
      <t>O/N</t>
    </r>
    <r>
      <rPr>
        <b/>
        <vertAlign val="subscript"/>
        <sz val="7"/>
        <color theme="1"/>
        <rFont val="Comic Sans MS"/>
      </rPr>
      <t>2</t>
    </r>
  </si>
  <si>
    <t>Emissions 
(metric tons N2O)</t>
  </si>
  <si>
    <r>
      <rPr>
        <b/>
        <sz val="7"/>
        <color theme="1"/>
        <rFont val="Comic Sans MS"/>
      </rPr>
      <t>N</t>
    </r>
    <r>
      <rPr>
        <b/>
        <vertAlign val="subscript"/>
        <sz val="7"/>
        <color theme="1"/>
        <rFont val="Comic Sans MS"/>
      </rPr>
      <t>2</t>
    </r>
    <r>
      <rPr>
        <b/>
        <sz val="7"/>
        <color theme="1"/>
        <rFont val="Comic Sans MS"/>
      </rPr>
      <t>O GWP
(CO2 Eq.)</t>
    </r>
  </si>
  <si>
    <r>
      <rPr>
        <b/>
        <sz val="7"/>
        <color theme="1"/>
        <rFont val="Comic Sans MS"/>
      </rPr>
      <t>C/CO</t>
    </r>
    <r>
      <rPr>
        <b/>
        <vertAlign val="subscript"/>
        <sz val="7"/>
        <color theme="1"/>
        <rFont val="Comic Sans MS"/>
      </rPr>
      <t>2</t>
    </r>
  </si>
  <si>
    <t>Emissions from Biosolids
(MMTCE)</t>
  </si>
  <si>
    <t>Direct Emissions
(MMTCE)</t>
  </si>
  <si>
    <t>Total Emissions
(MMTCE)</t>
  </si>
  <si>
    <t>Emission
(MMTCO2E)</t>
  </si>
  <si>
    <t>(MMT/MT)</t>
  </si>
  <si>
    <t>Maryland Industrial Wastewater Methane Emissions - CH4</t>
  </si>
  <si>
    <t>Production Processed</t>
  </si>
  <si>
    <t xml:space="preserve">WW Outflow </t>
  </si>
  <si>
    <t>Unit Conversion</t>
  </si>
  <si>
    <t xml:space="preserve">COD </t>
  </si>
  <si>
    <t>COD Degraded</t>
  </si>
  <si>
    <r>
      <rPr>
        <b/>
        <sz val="7"/>
        <color theme="1"/>
        <rFont val="Comic Sans MS"/>
      </rPr>
      <t>CH</t>
    </r>
    <r>
      <rPr>
        <b/>
        <vertAlign val="subscript"/>
        <sz val="7"/>
        <color theme="1"/>
        <rFont val="Comic Sans MS"/>
      </rPr>
      <t>4</t>
    </r>
    <r>
      <rPr>
        <b/>
        <sz val="7"/>
        <color theme="1"/>
        <rFont val="Comic Sans MS"/>
      </rPr>
      <t xml:space="preserve"> GWP</t>
    </r>
  </si>
  <si>
    <r>
      <rPr>
        <b/>
        <sz val="7"/>
        <color theme="1"/>
        <rFont val="Comic Sans MS"/>
      </rPr>
      <t>C/CO</t>
    </r>
    <r>
      <rPr>
        <b/>
        <vertAlign val="subscript"/>
        <sz val="7"/>
        <color theme="1"/>
        <rFont val="Comic Sans MS"/>
      </rPr>
      <t>2</t>
    </r>
  </si>
  <si>
    <r>
      <rPr>
        <sz val="7"/>
        <color theme="1"/>
        <rFont val="Comic Sans MS"/>
      </rPr>
      <t>(m</t>
    </r>
    <r>
      <rPr>
        <vertAlign val="superscript"/>
        <sz val="7"/>
        <color theme="1"/>
        <rFont val="Comic Sans MS"/>
      </rPr>
      <t>3</t>
    </r>
    <r>
      <rPr>
        <sz val="7"/>
        <color theme="1"/>
        <rFont val="Comic Sans MS"/>
      </rPr>
      <t>/metric ton)</t>
    </r>
  </si>
  <si>
    <r>
      <rPr>
        <sz val="7"/>
        <color theme="1"/>
        <rFont val="Comic Sans MS"/>
      </rPr>
      <t>(l/m</t>
    </r>
    <r>
      <rPr>
        <vertAlign val="superscript"/>
        <sz val="7"/>
        <color theme="1"/>
        <rFont val="Comic Sans MS"/>
      </rPr>
      <t>3</t>
    </r>
    <r>
      <rPr>
        <sz val="7"/>
        <color theme="1"/>
        <rFont val="Comic Sans MS"/>
      </rPr>
      <t>)</t>
    </r>
  </si>
  <si>
    <t>(g COD/l)</t>
  </si>
  <si>
    <r>
      <rPr>
        <sz val="7"/>
        <color theme="1"/>
        <rFont val="Comic Sans MS"/>
      </rPr>
      <t>(g CH</t>
    </r>
    <r>
      <rPr>
        <vertAlign val="subscript"/>
        <sz val="7"/>
        <color theme="1"/>
        <rFont val="Comic Sans MS"/>
      </rPr>
      <t>4</t>
    </r>
    <r>
      <rPr>
        <sz val="7"/>
        <color theme="1"/>
        <rFont val="Comic Sans MS"/>
      </rPr>
      <t>/g COD)</t>
    </r>
  </si>
  <si>
    <t>(percent)</t>
  </si>
  <si>
    <r>
      <rPr>
        <sz val="7"/>
        <color theme="1"/>
        <rFont val="Comic Sans MS"/>
      </rPr>
      <t>(g CH</t>
    </r>
    <r>
      <rPr>
        <vertAlign val="subscript"/>
        <sz val="7"/>
        <color theme="1"/>
        <rFont val="Comic Sans MS"/>
      </rPr>
      <t>4</t>
    </r>
    <r>
      <rPr>
        <sz val="7"/>
        <color theme="1"/>
        <rFont val="Comic Sans MS"/>
      </rPr>
      <t>)</t>
    </r>
  </si>
  <si>
    <t>(g/Tg)</t>
  </si>
  <si>
    <r>
      <rPr>
        <sz val="7"/>
        <color theme="1"/>
        <rFont val="Comic Sans MS"/>
      </rPr>
      <t>(Tg or MMT CH</t>
    </r>
    <r>
      <rPr>
        <vertAlign val="subscript"/>
        <sz val="7"/>
        <color theme="1"/>
        <rFont val="Comic Sans MS"/>
      </rPr>
      <t>4</t>
    </r>
    <r>
      <rPr>
        <sz val="7"/>
        <color theme="1"/>
        <rFont val="Comic Sans MS"/>
      </rPr>
      <t>)</t>
    </r>
  </si>
  <si>
    <r>
      <rPr>
        <sz val="7"/>
        <color theme="1"/>
        <rFont val="Comic Sans MS"/>
      </rPr>
      <t>(CO</t>
    </r>
    <r>
      <rPr>
        <vertAlign val="subscript"/>
        <sz val="7"/>
        <color theme="1"/>
        <rFont val="Comic Sans MS"/>
      </rPr>
      <t>2</t>
    </r>
    <r>
      <rPr>
        <sz val="7"/>
        <color theme="1"/>
        <rFont val="Comic Sans MS"/>
      </rPr>
      <t xml:space="preserve"> Eq.)</t>
    </r>
  </si>
  <si>
    <r>
      <rPr>
        <sz val="7"/>
        <color theme="1"/>
        <rFont val="Comic Sans MS"/>
      </rPr>
      <t>(MMTCO</t>
    </r>
    <r>
      <rPr>
        <vertAlign val="subscript"/>
        <sz val="7"/>
        <color theme="1"/>
        <rFont val="Comic Sans MS"/>
      </rPr>
      <t>2</t>
    </r>
    <r>
      <rPr>
        <sz val="7"/>
        <color theme="1"/>
        <rFont val="Comic Sans MS"/>
      </rPr>
      <t>E)</t>
    </r>
  </si>
  <si>
    <t>Emissions were not calculated for the following sources: Industrial fruits &amp; vegetables, Industrial poultry, and Industrial pulp &amp; paper.</t>
  </si>
  <si>
    <t>Municipal CH4</t>
  </si>
  <si>
    <t>Municipal N2O</t>
  </si>
  <si>
    <t>Industrial CH4</t>
  </si>
  <si>
    <t>Fruits &amp; Vegetables</t>
  </si>
  <si>
    <t>Red Meat</t>
  </si>
  <si>
    <t>Poultry</t>
  </si>
  <si>
    <t>Pulp &amp; Paper</t>
  </si>
  <si>
    <t>Agricultural Emissions in Maryland</t>
  </si>
  <si>
    <t>Enteric Fermentation Emissions</t>
  </si>
  <si>
    <t>Number of Animals
('000 head)</t>
  </si>
  <si>
    <r>
      <rPr>
        <b/>
        <sz val="7"/>
        <color theme="1"/>
        <rFont val="Arial"/>
      </rPr>
      <t>Emission Factor
(kg CH</t>
    </r>
    <r>
      <rPr>
        <b/>
        <vertAlign val="subscript"/>
        <sz val="7"/>
        <color theme="1"/>
        <rFont val="Arial"/>
      </rPr>
      <t>4</t>
    </r>
    <r>
      <rPr>
        <b/>
        <sz val="7"/>
        <color theme="1"/>
        <rFont val="Arial"/>
      </rPr>
      <t>/head)</t>
    </r>
  </si>
  <si>
    <r>
      <rPr>
        <b/>
        <sz val="7"/>
        <color theme="1"/>
        <rFont val="Arial"/>
      </rPr>
      <t>Emissions
(kg CH</t>
    </r>
    <r>
      <rPr>
        <b/>
        <vertAlign val="subscript"/>
        <sz val="7"/>
        <color theme="1"/>
        <rFont val="Arial"/>
      </rPr>
      <t>4</t>
    </r>
    <r>
      <rPr>
        <b/>
        <sz val="7"/>
        <color theme="1"/>
        <rFont val="Arial"/>
      </rPr>
      <t>)</t>
    </r>
  </si>
  <si>
    <r>
      <rPr>
        <b/>
        <sz val="7"/>
        <color theme="1"/>
        <rFont val="Arial"/>
      </rPr>
      <t>Emissions
(MMTCH</t>
    </r>
    <r>
      <rPr>
        <b/>
        <vertAlign val="subscript"/>
        <sz val="7"/>
        <color theme="1"/>
        <rFont val="Arial"/>
      </rPr>
      <t>4</t>
    </r>
    <r>
      <rPr>
        <b/>
        <sz val="7"/>
        <color theme="1"/>
        <rFont val="Arial"/>
      </rPr>
      <t>)</t>
    </r>
  </si>
  <si>
    <r>
      <rPr>
        <b/>
        <sz val="7"/>
        <color theme="1"/>
        <rFont val="Arial"/>
      </rPr>
      <t>Emissions
(MMTCO</t>
    </r>
    <r>
      <rPr>
        <b/>
        <vertAlign val="subscript"/>
        <sz val="7"/>
        <color theme="1"/>
        <rFont val="Arial"/>
      </rPr>
      <t>2</t>
    </r>
    <r>
      <rPr>
        <b/>
        <sz val="7"/>
        <color theme="1"/>
        <rFont val="Arial"/>
      </rPr>
      <t>E)</t>
    </r>
  </si>
  <si>
    <t>Dairy Cattle</t>
  </si>
  <si>
    <t>Dairy Cows</t>
  </si>
  <si>
    <t>Dairy Replacement Heifers</t>
  </si>
  <si>
    <t xml:space="preserve">   Replacements 0-12 mos.</t>
  </si>
  <si>
    <t xml:space="preserve">   Replacements 12-24 mos.</t>
  </si>
  <si>
    <t>Beef Cattle</t>
  </si>
  <si>
    <t>Beef Cows</t>
  </si>
  <si>
    <t>Beef Replacement Heifers</t>
  </si>
  <si>
    <t>Heifer Stockers</t>
  </si>
  <si>
    <t>Steer Stockers</t>
  </si>
  <si>
    <t>Feedlot Heifers</t>
  </si>
  <si>
    <t>Feedlot Steer</t>
  </si>
  <si>
    <t>Bulls</t>
  </si>
  <si>
    <t>Sheep</t>
  </si>
  <si>
    <t>Goats</t>
  </si>
  <si>
    <t>Swine</t>
  </si>
  <si>
    <t>Horses</t>
  </si>
  <si>
    <t>Manure Management Methane Emissions</t>
  </si>
  <si>
    <t>Number of Animals ('000 head)</t>
  </si>
  <si>
    <t>Typical Animal Mass (TAM) (kg)</t>
  </si>
  <si>
    <t>Volatile Solids (VS)  [kg VS/1000 kg animal mass/day]</t>
  </si>
  <si>
    <t>Total VS (kg/yr)</t>
  </si>
  <si>
    <r>
      <rPr>
        <b/>
        <sz val="7"/>
        <color theme="1"/>
        <rFont val="Comic Sans MS"/>
      </rPr>
      <t>Max Pot. Emissions (m</t>
    </r>
    <r>
      <rPr>
        <b/>
        <vertAlign val="superscript"/>
        <sz val="7"/>
        <color theme="1"/>
        <rFont val="Comic Sans MS"/>
      </rPr>
      <t>3</t>
    </r>
    <r>
      <rPr>
        <b/>
        <sz val="7"/>
        <color theme="1"/>
        <rFont val="Comic Sans MS"/>
      </rPr>
      <t xml:space="preserve"> CH</t>
    </r>
    <r>
      <rPr>
        <b/>
        <vertAlign val="subscript"/>
        <sz val="7"/>
        <color theme="1"/>
        <rFont val="Comic Sans MS"/>
      </rPr>
      <t>4</t>
    </r>
    <r>
      <rPr>
        <b/>
        <sz val="7"/>
        <color theme="1"/>
        <rFont val="Comic Sans MS"/>
      </rPr>
      <t>/ kg VS)</t>
    </r>
  </si>
  <si>
    <t>Weighted MCF</t>
  </si>
  <si>
    <r>
      <rPr>
        <b/>
        <sz val="7"/>
        <color theme="1"/>
        <rFont val="Comic Sans MS"/>
      </rPr>
      <t>Emissions      (m</t>
    </r>
    <r>
      <rPr>
        <b/>
        <vertAlign val="superscript"/>
        <sz val="7"/>
        <color theme="1"/>
        <rFont val="Comic Sans MS"/>
      </rPr>
      <t>3</t>
    </r>
    <r>
      <rPr>
        <b/>
        <sz val="7"/>
        <color theme="1"/>
        <rFont val="Comic Sans MS"/>
      </rPr>
      <t xml:space="preserve"> CH</t>
    </r>
    <r>
      <rPr>
        <b/>
        <vertAlign val="subscript"/>
        <sz val="7"/>
        <color theme="1"/>
        <rFont val="Comic Sans MS"/>
      </rPr>
      <t>4</t>
    </r>
    <r>
      <rPr>
        <b/>
        <sz val="7"/>
        <color theme="1"/>
        <rFont val="Comic Sans MS"/>
      </rPr>
      <t>)</t>
    </r>
  </si>
  <si>
    <r>
      <rPr>
        <b/>
        <sz val="7"/>
        <color theme="1"/>
        <rFont val="Comic Sans MS"/>
      </rPr>
      <t>Emissions (Metric Tons CH</t>
    </r>
    <r>
      <rPr>
        <b/>
        <vertAlign val="subscript"/>
        <sz val="7"/>
        <color theme="1"/>
        <rFont val="Comic Sans MS"/>
      </rPr>
      <t>4</t>
    </r>
    <r>
      <rPr>
        <b/>
        <sz val="7"/>
        <color theme="1"/>
        <rFont val="Comic Sans MS"/>
      </rPr>
      <t>)</t>
    </r>
  </si>
  <si>
    <r>
      <rPr>
        <b/>
        <sz val="7"/>
        <color theme="1"/>
        <rFont val="Comic Sans MS"/>
      </rPr>
      <t>Emissions (MMTCH</t>
    </r>
    <r>
      <rPr>
        <b/>
        <vertAlign val="subscript"/>
        <sz val="7"/>
        <color theme="1"/>
        <rFont val="Comic Sans MS"/>
      </rPr>
      <t>4</t>
    </r>
    <r>
      <rPr>
        <b/>
        <sz val="7"/>
        <color theme="1"/>
        <rFont val="Comic Sans MS"/>
      </rPr>
      <t>)</t>
    </r>
  </si>
  <si>
    <t>Emissions (MMTCE)</t>
  </si>
  <si>
    <r>
      <rPr>
        <b/>
        <sz val="7"/>
        <color theme="1"/>
        <rFont val="Comic Sans MS"/>
      </rPr>
      <t>Emissions  (MMTCO</t>
    </r>
    <r>
      <rPr>
        <b/>
        <vertAlign val="subscript"/>
        <sz val="7"/>
        <color theme="1"/>
        <rFont val="Arial"/>
      </rPr>
      <t>2</t>
    </r>
    <r>
      <rPr>
        <b/>
        <sz val="7"/>
        <color theme="1"/>
        <rFont val="Arial"/>
      </rPr>
      <t>E)</t>
    </r>
  </si>
  <si>
    <t>Calves</t>
  </si>
  <si>
    <t>Breeding Swine</t>
  </si>
  <si>
    <t>Market Under 60 lbs</t>
  </si>
  <si>
    <t>Market 60-119 lbs</t>
  </si>
  <si>
    <t>Market 120-179 lbs</t>
  </si>
  <si>
    <t>Market over 180 lbs</t>
  </si>
  <si>
    <t>Layers</t>
  </si>
  <si>
    <t>Hens &gt; 1 yr</t>
  </si>
  <si>
    <t>Pullets</t>
  </si>
  <si>
    <t>Chickens</t>
  </si>
  <si>
    <t>Broilers</t>
  </si>
  <si>
    <t>Turkeys</t>
  </si>
  <si>
    <t>Sheep on Feed</t>
  </si>
  <si>
    <t>Sheep Not on Feed</t>
  </si>
  <si>
    <t>Manure Management N20 Emissions</t>
  </si>
  <si>
    <t>Total K-Nitrogen Excreted
(kg)</t>
  </si>
  <si>
    <t>Unvolatilized N from Manure in Anaerobic Lagoons and Liquid Systems
(kg)</t>
  </si>
  <si>
    <t>Unvolatilized N from Manure in Solid Storage, Drylot &amp; Other Systems
(kg)</t>
  </si>
  <si>
    <t>Emissions from Anaerobic Lagoons and Liquid Systems
(kg N2O-N)</t>
  </si>
  <si>
    <t>Emissions from Solid Storage, Drylot, &amp; Other Systems
(kg N2O-N)</t>
  </si>
  <si>
    <r>
      <rPr>
        <b/>
        <sz val="7"/>
        <color theme="1"/>
        <rFont val="Arial"/>
      </rPr>
      <t>Total N</t>
    </r>
    <r>
      <rPr>
        <b/>
        <vertAlign val="subscript"/>
        <sz val="7"/>
        <color theme="1"/>
        <rFont val="Arial"/>
      </rPr>
      <t>2</t>
    </r>
    <r>
      <rPr>
        <b/>
        <sz val="7"/>
        <color theme="1"/>
        <rFont val="Arial"/>
      </rPr>
      <t>O Emissions
(kg N</t>
    </r>
    <r>
      <rPr>
        <b/>
        <vertAlign val="subscript"/>
        <sz val="7"/>
        <color theme="1"/>
        <rFont val="Arial"/>
      </rPr>
      <t>2</t>
    </r>
    <r>
      <rPr>
        <b/>
        <sz val="7"/>
        <color theme="1"/>
        <rFont val="Arial"/>
      </rPr>
      <t>O)</t>
    </r>
  </si>
  <si>
    <r>
      <rPr>
        <b/>
        <sz val="7"/>
        <color theme="1"/>
        <rFont val="Arial"/>
      </rPr>
      <t>Emissions
(MMTCO</t>
    </r>
    <r>
      <rPr>
        <b/>
        <vertAlign val="subscript"/>
        <sz val="7"/>
        <color theme="1"/>
        <rFont val="Arial"/>
      </rPr>
      <t>2</t>
    </r>
    <r>
      <rPr>
        <b/>
        <sz val="7"/>
        <color theme="1"/>
        <rFont val="Arial"/>
      </rPr>
      <t>E)</t>
    </r>
  </si>
  <si>
    <t>Dairy</t>
  </si>
  <si>
    <t xml:space="preserve"> </t>
  </si>
  <si>
    <t>Ag Soils- Plant Residues &amp; Legumes in Maryland</t>
  </si>
  <si>
    <t>Legumes and Crop Residue Calculations</t>
  </si>
  <si>
    <t xml:space="preserve">Crop Production </t>
  </si>
  <si>
    <t>metric tons/bushel:</t>
  </si>
  <si>
    <t>Residue: Crop Mass Ratio</t>
  </si>
  <si>
    <t>Crop Production (metric tons)</t>
  </si>
  <si>
    <t>Residue Dry Matter Fraction</t>
  </si>
  <si>
    <t xml:space="preserve">Fraction Residue Applied </t>
  </si>
  <si>
    <t>Nitrogen Content of Residue</t>
  </si>
  <si>
    <t>Nitrogen Returned to Soil</t>
  </si>
  <si>
    <t>N content of Aboveground Biomass for N fixing</t>
  </si>
  <si>
    <t>N-Fixed by Crops (kg)</t>
  </si>
  <si>
    <t>EF Direct</t>
  </si>
  <si>
    <r>
      <rPr>
        <b/>
        <sz val="8"/>
        <color theme="1"/>
        <rFont val="Calibri"/>
      </rPr>
      <t>Direct N</t>
    </r>
    <r>
      <rPr>
        <b/>
        <vertAlign val="subscript"/>
        <sz val="8"/>
        <color theme="1"/>
        <rFont val="Calibri"/>
      </rPr>
      <t>2</t>
    </r>
    <r>
      <rPr>
        <b/>
        <sz val="8"/>
        <color theme="1"/>
        <rFont val="Calibri"/>
      </rPr>
      <t>O Emissions (metric tons N</t>
    </r>
    <r>
      <rPr>
        <b/>
        <vertAlign val="subscript"/>
        <sz val="8"/>
        <color theme="1"/>
        <rFont val="Calibri"/>
      </rPr>
      <t>2</t>
    </r>
    <r>
      <rPr>
        <b/>
        <sz val="8"/>
        <color theme="1"/>
        <rFont val="Calibri"/>
      </rPr>
      <t>O)</t>
    </r>
  </si>
  <si>
    <r>
      <rPr>
        <b/>
        <sz val="8"/>
        <color theme="1"/>
        <rFont val="Calibri"/>
      </rPr>
      <t>Direct Emissions</t>
    </r>
    <r>
      <rPr>
        <sz val="8"/>
        <color theme="1"/>
        <rFont val="Calibri"/>
      </rPr>
      <t xml:space="preserve"> (MMTCE)</t>
    </r>
  </si>
  <si>
    <r>
      <rPr>
        <b/>
        <sz val="8"/>
        <color theme="1"/>
        <rFont val="Calibri"/>
      </rPr>
      <t>Direct Emissions  (MMTCO</t>
    </r>
    <r>
      <rPr>
        <b/>
        <vertAlign val="subscript"/>
        <sz val="8"/>
        <color theme="1"/>
        <rFont val="Calibri"/>
      </rPr>
      <t>2</t>
    </r>
    <r>
      <rPr>
        <b/>
        <sz val="8"/>
        <color theme="1"/>
        <rFont val="Calibri"/>
      </rPr>
      <t>E)</t>
    </r>
  </si>
  <si>
    <t xml:space="preserve">Alfalfa  </t>
  </si>
  <si>
    <t>'000 tons</t>
  </si>
  <si>
    <t>Residues</t>
  </si>
  <si>
    <t xml:space="preserve">Corn for Grain </t>
  </si>
  <si>
    <t>'000 bushels</t>
  </si>
  <si>
    <t>Legumes</t>
  </si>
  <si>
    <t xml:space="preserve">All Wheat </t>
  </si>
  <si>
    <t xml:space="preserve">Barley </t>
  </si>
  <si>
    <t>Sorghum for Grain</t>
  </si>
  <si>
    <t>Oats</t>
  </si>
  <si>
    <t>Rye</t>
  </si>
  <si>
    <t>Millet</t>
  </si>
  <si>
    <t>Rice</t>
  </si>
  <si>
    <t>'000 hundred weight</t>
  </si>
  <si>
    <t xml:space="preserve">Soybeans </t>
  </si>
  <si>
    <t>Peanuts</t>
  </si>
  <si>
    <t>'000 lbs</t>
  </si>
  <si>
    <t>Dry Edible Beans</t>
  </si>
  <si>
    <t>Dry Edible Peas</t>
  </si>
  <si>
    <t>Austrian Winter Peas</t>
  </si>
  <si>
    <t>Lentils</t>
  </si>
  <si>
    <t>Wrinkled Seed Peas</t>
  </si>
  <si>
    <t>Red Clover</t>
  </si>
  <si>
    <t>metric tons</t>
  </si>
  <si>
    <t>White Clover</t>
  </si>
  <si>
    <t>Birdsfoot Trefoil</t>
  </si>
  <si>
    <t>Arrowleaf Clover</t>
  </si>
  <si>
    <t>Crimson Clover</t>
  </si>
  <si>
    <t>Ag Soils Plant Fertilizer Emissions in Maryland</t>
  </si>
  <si>
    <t>Fertilizer Calculations</t>
  </si>
  <si>
    <t>Growing Year Entry</t>
  </si>
  <si>
    <r>
      <rPr>
        <b/>
        <sz val="8"/>
        <color theme="1"/>
        <rFont val="Calibri"/>
      </rPr>
      <t>Total Fertilizer Use</t>
    </r>
    <r>
      <rPr>
        <sz val="8"/>
        <color theme="1"/>
        <rFont val="Calibri"/>
      </rPr>
      <t xml:space="preserve"> (kg N)</t>
    </r>
  </si>
  <si>
    <r>
      <rPr>
        <b/>
        <sz val="8"/>
        <color theme="1"/>
        <rFont val="Calibri"/>
      </rPr>
      <t xml:space="preserve">Total N in Fertilizers </t>
    </r>
    <r>
      <rPr>
        <sz val="8"/>
        <color theme="1"/>
        <rFont val="Calibri"/>
      </rPr>
      <t>(Calendar Year)</t>
    </r>
  </si>
  <si>
    <t>Volatilzation
(Percent)</t>
  </si>
  <si>
    <t>N Content of Non-Manure Organics</t>
  </si>
  <si>
    <r>
      <rPr>
        <b/>
        <sz val="8"/>
        <color theme="1"/>
        <rFont val="Calibri"/>
      </rPr>
      <t xml:space="preserve">Unvolatized N
</t>
    </r>
    <r>
      <rPr>
        <sz val="8"/>
        <color theme="1"/>
        <rFont val="Calibri"/>
      </rPr>
      <t>(kg)</t>
    </r>
  </si>
  <si>
    <r>
      <rPr>
        <b/>
        <sz val="8"/>
        <color theme="1"/>
        <rFont val="Calibri"/>
      </rPr>
      <t xml:space="preserve">Volatized N
</t>
    </r>
    <r>
      <rPr>
        <sz val="8"/>
        <color theme="1"/>
        <rFont val="Calibri"/>
      </rPr>
      <t>(kg)</t>
    </r>
  </si>
  <si>
    <r>
      <rPr>
        <b/>
        <sz val="8"/>
        <color theme="1"/>
        <rFont val="Calibri"/>
      </rPr>
      <t>Direct N</t>
    </r>
    <r>
      <rPr>
        <b/>
        <vertAlign val="subscript"/>
        <sz val="8"/>
        <color theme="1"/>
        <rFont val="Calibri"/>
      </rPr>
      <t>2</t>
    </r>
    <r>
      <rPr>
        <b/>
        <sz val="8"/>
        <color theme="1"/>
        <rFont val="Calibri"/>
      </rPr>
      <t>O Emissions
(metric tons)</t>
    </r>
  </si>
  <si>
    <r>
      <rPr>
        <b/>
        <sz val="8"/>
        <color theme="1"/>
        <rFont val="Calibri"/>
      </rPr>
      <t>Indirect N</t>
    </r>
    <r>
      <rPr>
        <b/>
        <vertAlign val="subscript"/>
        <sz val="8"/>
        <color theme="1"/>
        <rFont val="Calibri"/>
      </rPr>
      <t>2</t>
    </r>
    <r>
      <rPr>
        <b/>
        <sz val="8"/>
        <color theme="1"/>
        <rFont val="Calibri"/>
      </rPr>
      <t>O Emissions
(metric tons)</t>
    </r>
  </si>
  <si>
    <r>
      <rPr>
        <b/>
        <sz val="8"/>
        <color theme="1"/>
        <rFont val="Calibri"/>
      </rPr>
      <t xml:space="preserve">Direct Emissions
</t>
    </r>
    <r>
      <rPr>
        <sz val="8"/>
        <color theme="1"/>
        <rFont val="Calibri"/>
      </rPr>
      <t>(MMTCE)</t>
    </r>
  </si>
  <si>
    <r>
      <rPr>
        <b/>
        <sz val="8"/>
        <color theme="1"/>
        <rFont val="Calibri"/>
      </rPr>
      <t xml:space="preserve">Indirect Emissions
</t>
    </r>
    <r>
      <rPr>
        <sz val="8"/>
        <color theme="1"/>
        <rFont val="Calibri"/>
      </rPr>
      <t>(MMTCE)</t>
    </r>
  </si>
  <si>
    <r>
      <rPr>
        <b/>
        <sz val="8"/>
        <color theme="1"/>
        <rFont val="Calibri"/>
      </rPr>
      <t>Direct Emissions
(MMTCO</t>
    </r>
    <r>
      <rPr>
        <b/>
        <vertAlign val="subscript"/>
        <sz val="8"/>
        <color theme="1"/>
        <rFont val="Calibri"/>
      </rPr>
      <t>2</t>
    </r>
    <r>
      <rPr>
        <b/>
        <sz val="8"/>
        <color theme="1"/>
        <rFont val="Calibri"/>
      </rPr>
      <t>E)</t>
    </r>
  </si>
  <si>
    <r>
      <rPr>
        <b/>
        <sz val="8"/>
        <color theme="1"/>
        <rFont val="Calibri"/>
      </rPr>
      <t>Indirect Emissions
(MMTCO</t>
    </r>
    <r>
      <rPr>
        <b/>
        <vertAlign val="subscript"/>
        <sz val="8"/>
        <color theme="1"/>
        <rFont val="Calibri"/>
      </rPr>
      <t>2</t>
    </r>
    <r>
      <rPr>
        <b/>
        <sz val="8"/>
        <color theme="1"/>
        <rFont val="Calibri"/>
      </rPr>
      <t>E)</t>
    </r>
  </si>
  <si>
    <t xml:space="preserve">Synthetic </t>
  </si>
  <si>
    <t xml:space="preserve">Organic  </t>
  </si>
  <si>
    <t>Dried Blood</t>
  </si>
  <si>
    <t>Compost</t>
  </si>
  <si>
    <t>Dried Manure</t>
  </si>
  <si>
    <t>Activated Sewage Sludge</t>
  </si>
  <si>
    <t>Other Sewage Sludge</t>
  </si>
  <si>
    <t>Tankage</t>
  </si>
  <si>
    <t xml:space="preserve">Other </t>
  </si>
  <si>
    <t>Dried Manure %</t>
  </si>
  <si>
    <t>Non-Manure Organics</t>
  </si>
  <si>
    <t>Manure Organics</t>
  </si>
  <si>
    <r>
      <rPr>
        <b/>
        <sz val="8"/>
        <color theme="1"/>
        <rFont val="Calibri"/>
      </rPr>
      <t>Total Fertilizer Use</t>
    </r>
    <r>
      <rPr>
        <sz val="8"/>
        <color theme="1"/>
        <rFont val="Calibri"/>
      </rPr>
      <t xml:space="preserve"> (kg N)</t>
    </r>
  </si>
  <si>
    <t>Agriculture Soils - Emissions from Animals &amp; Runoff</t>
  </si>
  <si>
    <t xml:space="preserve">Percentage Breakdown of Manure Management Systems </t>
  </si>
  <si>
    <t>K-NITROGEN EXCRETED BY MANAGEMENT SYSTEM (kg):</t>
  </si>
  <si>
    <t>DIRECT EMISSIONS (MT N)</t>
  </si>
  <si>
    <t>Source: US Inventory spreadsheets. See Manure-N2O.xls, WMS sheets.</t>
  </si>
  <si>
    <r>
      <rPr>
        <b/>
        <sz val="8"/>
        <color theme="1"/>
        <rFont val="Calibri"/>
      </rPr>
      <t xml:space="preserve">Number of Animals
</t>
    </r>
    <r>
      <rPr>
        <sz val="8"/>
        <color theme="1"/>
        <rFont val="Calibri"/>
      </rPr>
      <t>('000 head)</t>
    </r>
  </si>
  <si>
    <t>TAM
(kg)</t>
  </si>
  <si>
    <t>K-Nitrogen
(kg/day/1000kg)</t>
  </si>
  <si>
    <r>
      <rPr>
        <b/>
        <sz val="8"/>
        <color theme="1"/>
        <rFont val="Calibri"/>
      </rPr>
      <t xml:space="preserve">Total K-Nitrogen Excreted
</t>
    </r>
    <r>
      <rPr>
        <sz val="8"/>
        <color theme="1"/>
        <rFont val="Calibri"/>
      </rPr>
      <t>(kg)</t>
    </r>
  </si>
  <si>
    <r>
      <rPr>
        <b/>
        <sz val="8"/>
        <color theme="1"/>
        <rFont val="Calibri"/>
      </rPr>
      <t>Indirect Animal N</t>
    </r>
    <r>
      <rPr>
        <b/>
        <vertAlign val="subscript"/>
        <sz val="8"/>
        <color theme="1"/>
        <rFont val="Calibri"/>
      </rPr>
      <t>2</t>
    </r>
    <r>
      <rPr>
        <b/>
        <sz val="8"/>
        <color theme="1"/>
        <rFont val="Calibri"/>
      </rPr>
      <t xml:space="preserve">O Emissions
</t>
    </r>
    <r>
      <rPr>
        <sz val="8"/>
        <color theme="1"/>
        <rFont val="Calibri"/>
      </rPr>
      <t>(metric tons N)</t>
    </r>
  </si>
  <si>
    <t>Managed Systems</t>
  </si>
  <si>
    <t>Unmanaged Systems - Pasture, Range, and Paddock</t>
  </si>
  <si>
    <t>Unmanaged Systems - Daily Spread</t>
  </si>
  <si>
    <t>Manure Applied to Soils</t>
  </si>
  <si>
    <t>Pasture, Range and Paddock</t>
  </si>
  <si>
    <t>Leaching and Runoff</t>
  </si>
  <si>
    <t xml:space="preserve">Dairy Cows </t>
  </si>
  <si>
    <t>Dairy Heifers</t>
  </si>
  <si>
    <t>Feedlot Beef</t>
  </si>
  <si>
    <t>NOF Beef</t>
  </si>
  <si>
    <t>Year &amp; State</t>
  </si>
  <si>
    <t>Anaerobic Lagoon</t>
  </si>
  <si>
    <t>Liquid/ Slurry</t>
  </si>
  <si>
    <t>Daily Spread</t>
  </si>
  <si>
    <t>Solid Storage</t>
  </si>
  <si>
    <t>Pasture</t>
  </si>
  <si>
    <t>Deep Pit</t>
  </si>
  <si>
    <t>Managed</t>
  </si>
  <si>
    <t>PRP</t>
  </si>
  <si>
    <t>STATE</t>
  </si>
  <si>
    <t>Dry Lot</t>
  </si>
  <si>
    <t>Poultry without bedding</t>
  </si>
  <si>
    <t>Range</t>
  </si>
  <si>
    <t>On Feed (PRP)</t>
  </si>
  <si>
    <t>Not on Feed (PRP)</t>
  </si>
  <si>
    <t>Pasture, Range &amp; Paddock</t>
  </si>
  <si>
    <t>Unvolatilized N from Organic Fertilizers (kg)</t>
  </si>
  <si>
    <t>2006MD</t>
  </si>
  <si>
    <t>MD</t>
  </si>
  <si>
    <t>Unvolatilized N from Synthetic Fertilizers (kg)</t>
  </si>
  <si>
    <r>
      <rPr>
        <b/>
        <sz val="8"/>
        <color theme="1"/>
        <rFont val="Calibri"/>
      </rPr>
      <t>Fertilizer Runoff/Leached</t>
    </r>
    <r>
      <rPr>
        <sz val="8"/>
        <color theme="1"/>
        <rFont val="Calibri"/>
      </rPr>
      <t xml:space="preserve"> (metric tons N)</t>
    </r>
  </si>
  <si>
    <t>Total N excreted by Livestock (kg)</t>
  </si>
  <si>
    <r>
      <rPr>
        <b/>
        <sz val="8"/>
        <color theme="1"/>
        <rFont val="Calibri"/>
      </rPr>
      <t xml:space="preserve">Manure Runoff/Leached </t>
    </r>
    <r>
      <rPr>
        <sz val="8"/>
        <color theme="1"/>
        <rFont val="Calibri"/>
      </rPr>
      <t>(metric tons N)</t>
    </r>
  </si>
  <si>
    <r>
      <rPr>
        <b/>
        <sz val="8"/>
        <color theme="1"/>
        <rFont val="Calibri"/>
      </rPr>
      <t xml:space="preserve">TOTAL Runoff/Leached </t>
    </r>
    <r>
      <rPr>
        <sz val="8"/>
        <color theme="1"/>
        <rFont val="Calibri"/>
      </rPr>
      <t>(metric tons N</t>
    </r>
    <r>
      <rPr>
        <vertAlign val="subscript"/>
        <sz val="8"/>
        <color theme="1"/>
        <rFont val="Calibri"/>
      </rPr>
      <t>2</t>
    </r>
    <r>
      <rPr>
        <sz val="8"/>
        <color theme="1"/>
        <rFont val="Calibri"/>
      </rPr>
      <t>O-N)</t>
    </r>
  </si>
  <si>
    <t>Total Beef Heifers</t>
  </si>
  <si>
    <t>EMISSIONS SUMMARY  2006</t>
  </si>
  <si>
    <r>
      <rPr>
        <b/>
        <sz val="8"/>
        <color theme="1"/>
        <rFont val="Calibri"/>
      </rPr>
      <t>Livestock
(Metric Tons N</t>
    </r>
    <r>
      <rPr>
        <b/>
        <vertAlign val="subscript"/>
        <sz val="8"/>
        <color theme="1"/>
        <rFont val="Calibri"/>
      </rPr>
      <t>2</t>
    </r>
    <r>
      <rPr>
        <b/>
        <sz val="8"/>
        <color theme="1"/>
        <rFont val="Calibri"/>
      </rPr>
      <t>O)</t>
    </r>
  </si>
  <si>
    <t>Livestock
(MMTCE)</t>
  </si>
  <si>
    <r>
      <rPr>
        <b/>
        <sz val="8"/>
        <color theme="1"/>
        <rFont val="Calibri"/>
      </rPr>
      <t>Livestock
(MMTCO</t>
    </r>
    <r>
      <rPr>
        <b/>
        <vertAlign val="subscript"/>
        <sz val="8"/>
        <color theme="1"/>
        <rFont val="Calibri"/>
      </rPr>
      <t>2</t>
    </r>
    <r>
      <rPr>
        <b/>
        <sz val="8"/>
        <color theme="1"/>
        <rFont val="Calibri"/>
      </rPr>
      <t>E)</t>
    </r>
  </si>
  <si>
    <r>
      <rPr>
        <b/>
        <sz val="8"/>
        <color theme="1"/>
        <rFont val="Calibri"/>
      </rPr>
      <t>Leaching and Runoff
(Metric Tons N</t>
    </r>
    <r>
      <rPr>
        <b/>
        <vertAlign val="subscript"/>
        <sz val="8"/>
        <color theme="1"/>
        <rFont val="Calibri"/>
      </rPr>
      <t>2</t>
    </r>
    <r>
      <rPr>
        <b/>
        <sz val="8"/>
        <color theme="1"/>
        <rFont val="Calibri"/>
      </rPr>
      <t>O)</t>
    </r>
  </si>
  <si>
    <t>Leaching and Runoff
(MMTCE)</t>
  </si>
  <si>
    <r>
      <rPr>
        <b/>
        <sz val="8"/>
        <color theme="1"/>
        <rFont val="Calibri"/>
      </rPr>
      <t>Leaching and Runoff
(MMTCO</t>
    </r>
    <r>
      <rPr>
        <b/>
        <vertAlign val="subscript"/>
        <sz val="8"/>
        <color theme="1"/>
        <rFont val="Calibri"/>
      </rPr>
      <t>2</t>
    </r>
    <r>
      <rPr>
        <b/>
        <sz val="8"/>
        <color theme="1"/>
        <rFont val="Calibri"/>
      </rPr>
      <t>E)</t>
    </r>
  </si>
  <si>
    <r>
      <rPr>
        <b/>
        <sz val="8"/>
        <color theme="1"/>
        <rFont val="Calibri"/>
      </rPr>
      <t>Indirect N</t>
    </r>
    <r>
      <rPr>
        <b/>
        <vertAlign val="subscript"/>
        <sz val="8"/>
        <color theme="1"/>
        <rFont val="Calibri"/>
      </rPr>
      <t>2</t>
    </r>
    <r>
      <rPr>
        <b/>
        <sz val="8"/>
        <color theme="1"/>
        <rFont val="Calibri"/>
      </rPr>
      <t>O Emissions</t>
    </r>
  </si>
  <si>
    <t>TOTAL Runoff/Leached</t>
  </si>
  <si>
    <r>
      <rPr>
        <sz val="8"/>
        <color theme="1"/>
        <rFont val="Calibri"/>
      </rPr>
      <t>Direct N</t>
    </r>
    <r>
      <rPr>
        <vertAlign val="subscript"/>
        <sz val="8"/>
        <color theme="1"/>
        <rFont val="Calibri"/>
      </rPr>
      <t>2</t>
    </r>
    <r>
      <rPr>
        <sz val="8"/>
        <color theme="1"/>
        <rFont val="Calibri"/>
      </rPr>
      <t>O Emissions - Manure Applied to Soils (including Daily Spread)</t>
    </r>
  </si>
  <si>
    <t>Fertilizer Runoff/Leached</t>
  </si>
  <si>
    <r>
      <rPr>
        <sz val="8"/>
        <color theme="1"/>
        <rFont val="Calibri"/>
      </rPr>
      <t>Direct N</t>
    </r>
    <r>
      <rPr>
        <vertAlign val="subscript"/>
        <sz val="8"/>
        <color theme="1"/>
        <rFont val="Calibri"/>
      </rPr>
      <t>2</t>
    </r>
    <r>
      <rPr>
        <sz val="8"/>
        <color theme="1"/>
        <rFont val="Calibri"/>
      </rPr>
      <t>O Emissions - Pasture, Range, and Paddock</t>
    </r>
  </si>
  <si>
    <t xml:space="preserve">Manure Runoff/Leached </t>
  </si>
  <si>
    <r>
      <rPr>
        <b/>
        <sz val="8"/>
        <color theme="1"/>
        <rFont val="Calibri"/>
      </rPr>
      <t>Direct N</t>
    </r>
    <r>
      <rPr>
        <b/>
        <vertAlign val="subscript"/>
        <sz val="8"/>
        <color theme="1"/>
        <rFont val="Calibri"/>
      </rPr>
      <t>2</t>
    </r>
    <r>
      <rPr>
        <b/>
        <sz val="8"/>
        <color theme="1"/>
        <rFont val="Calibri"/>
      </rPr>
      <t>O Emissions</t>
    </r>
  </si>
  <si>
    <t>Agricultural Residue Burning CH4 Emissions</t>
  </si>
  <si>
    <t>Crop</t>
  </si>
  <si>
    <t xml:space="preserve">Crop Production        </t>
  </si>
  <si>
    <t>metric tons/bushel</t>
  </si>
  <si>
    <t>Crop Production     (metric tons)</t>
  </si>
  <si>
    <t>Residue/Crop Ratio</t>
  </si>
  <si>
    <t>Fraction   Residue Burned</t>
  </si>
  <si>
    <t>Dry Matter Fraction</t>
  </si>
  <si>
    <t>Burning Efficiency</t>
  </si>
  <si>
    <t>Combustion Efficiency</t>
  </si>
  <si>
    <t>Carbon Content</t>
  </si>
  <si>
    <t>Total C Released  (metric tons C)</t>
  </si>
  <si>
    <r>
      <rPr>
        <b/>
        <sz val="8"/>
        <color theme="1"/>
        <rFont val="Calibri"/>
      </rPr>
      <t>CH</t>
    </r>
    <r>
      <rPr>
        <b/>
        <vertAlign val="subscript"/>
        <sz val="8"/>
        <color theme="1"/>
        <rFont val="Calibri"/>
      </rPr>
      <t>4</t>
    </r>
    <r>
      <rPr>
        <b/>
        <sz val="8"/>
        <color theme="1"/>
        <rFont val="Calibri"/>
      </rPr>
      <t xml:space="preserve"> Emissions  (metric tons CH</t>
    </r>
    <r>
      <rPr>
        <b/>
        <vertAlign val="subscript"/>
        <sz val="8"/>
        <color theme="1"/>
        <rFont val="Calibri"/>
      </rPr>
      <t>4</t>
    </r>
    <r>
      <rPr>
        <b/>
        <sz val="8"/>
        <color theme="1"/>
        <rFont val="Calibri"/>
      </rPr>
      <t>)</t>
    </r>
  </si>
  <si>
    <r>
      <rPr>
        <b/>
        <sz val="8"/>
        <color theme="1"/>
        <rFont val="Calibri"/>
      </rPr>
      <t>CH</t>
    </r>
    <r>
      <rPr>
        <b/>
        <vertAlign val="subscript"/>
        <sz val="8"/>
        <color theme="1"/>
        <rFont val="Calibri"/>
      </rPr>
      <t>4</t>
    </r>
    <r>
      <rPr>
        <b/>
        <sz val="8"/>
        <color theme="1"/>
        <rFont val="Calibri"/>
      </rPr>
      <t xml:space="preserve"> Emissions  (MMTCE)</t>
    </r>
  </si>
  <si>
    <r>
      <rPr>
        <b/>
        <sz val="8"/>
        <color theme="1"/>
        <rFont val="Calibri"/>
      </rPr>
      <t>CH</t>
    </r>
    <r>
      <rPr>
        <b/>
        <vertAlign val="subscript"/>
        <sz val="8"/>
        <color theme="1"/>
        <rFont val="Calibri"/>
      </rPr>
      <t>4</t>
    </r>
    <r>
      <rPr>
        <b/>
        <sz val="8"/>
        <color theme="1"/>
        <rFont val="Calibri"/>
      </rPr>
      <t xml:space="preserve"> Emissions  (MMTCO</t>
    </r>
    <r>
      <rPr>
        <b/>
        <vertAlign val="subscript"/>
        <sz val="8"/>
        <color theme="1"/>
        <rFont val="Calibri"/>
      </rPr>
      <t>2</t>
    </r>
    <r>
      <rPr>
        <b/>
        <sz val="8"/>
        <color theme="1"/>
        <rFont val="Calibri"/>
      </rPr>
      <t>E)</t>
    </r>
  </si>
  <si>
    <t>Barley</t>
  </si>
  <si>
    <t>Corn</t>
  </si>
  <si>
    <t>'000 pounds</t>
  </si>
  <si>
    <t>'000 cwt</t>
  </si>
  <si>
    <t>Soybeans</t>
  </si>
  <si>
    <t>Sugarcane</t>
  </si>
  <si>
    <t>Wheat</t>
  </si>
  <si>
    <t>___________</t>
  </si>
  <si>
    <t>Agricultural Residue Burning N2O Emissions</t>
  </si>
  <si>
    <t>Fraction Residue Burned</t>
  </si>
  <si>
    <t>Nitrogen Content</t>
  </si>
  <si>
    <t>Total N Released  (metric tons)</t>
  </si>
  <si>
    <r>
      <rPr>
        <b/>
        <sz val="8"/>
        <color theme="1"/>
        <rFont val="Calibri"/>
      </rPr>
      <t>N</t>
    </r>
    <r>
      <rPr>
        <b/>
        <vertAlign val="subscript"/>
        <sz val="8"/>
        <color theme="1"/>
        <rFont val="Calibri"/>
      </rPr>
      <t>2</t>
    </r>
    <r>
      <rPr>
        <b/>
        <sz val="8"/>
        <color theme="1"/>
        <rFont val="Calibri"/>
      </rPr>
      <t>O Emissions  (metric tons)</t>
    </r>
  </si>
  <si>
    <r>
      <rPr>
        <b/>
        <sz val="8"/>
        <color theme="1"/>
        <rFont val="Calibri"/>
      </rPr>
      <t>N</t>
    </r>
    <r>
      <rPr>
        <b/>
        <vertAlign val="subscript"/>
        <sz val="8"/>
        <color theme="1"/>
        <rFont val="Calibri"/>
      </rPr>
      <t>2</t>
    </r>
    <r>
      <rPr>
        <b/>
        <sz val="8"/>
        <color theme="1"/>
        <rFont val="Calibri"/>
      </rPr>
      <t>O Emissions  (MMTCE)</t>
    </r>
  </si>
  <si>
    <r>
      <rPr>
        <b/>
        <sz val="8"/>
        <color theme="1"/>
        <rFont val="Calibri"/>
      </rPr>
      <t>N</t>
    </r>
    <r>
      <rPr>
        <b/>
        <vertAlign val="subscript"/>
        <sz val="8"/>
        <color theme="1"/>
        <rFont val="Calibri"/>
      </rPr>
      <t>2</t>
    </r>
    <r>
      <rPr>
        <b/>
        <sz val="8"/>
        <color theme="1"/>
        <rFont val="Calibri"/>
      </rPr>
      <t>O Emissions  (MMTCO</t>
    </r>
    <r>
      <rPr>
        <b/>
        <vertAlign val="subscript"/>
        <sz val="8"/>
        <color theme="1"/>
        <rFont val="Calibri"/>
      </rPr>
      <t>2</t>
    </r>
    <r>
      <rPr>
        <b/>
        <sz val="8"/>
        <color theme="1"/>
        <rFont val="Calibri"/>
      </rPr>
      <t>E)</t>
    </r>
  </si>
  <si>
    <t>TOTAL AGRICULTURE</t>
  </si>
  <si>
    <r>
      <rPr>
        <b/>
        <sz val="9"/>
        <color theme="1"/>
        <rFont val="Calibri"/>
      </rPr>
      <t>Emissions (MMTCO</t>
    </r>
    <r>
      <rPr>
        <b/>
        <vertAlign val="subscript"/>
        <sz val="9"/>
        <color theme="1"/>
        <rFont val="Calibri"/>
      </rPr>
      <t xml:space="preserve">2 </t>
    </r>
    <r>
      <rPr>
        <b/>
        <sz val="9"/>
        <color theme="1"/>
        <rFont val="Calibri"/>
      </rPr>
      <t>Eq.)</t>
    </r>
  </si>
  <si>
    <t>2006
MMTCO2E</t>
  </si>
  <si>
    <t>Ag Soils</t>
  </si>
  <si>
    <t>Rice Cultivation</t>
  </si>
  <si>
    <t>Agricultural Residue Burning</t>
  </si>
  <si>
    <t>Emissions by Gas 
(MMTCH4 or MMTN2O)</t>
  </si>
  <si>
    <t>Methane</t>
  </si>
  <si>
    <t>Nitrous Oxide</t>
  </si>
  <si>
    <t>Nitrous Oxide Emissions from Ag Soils (metric tons N2O)</t>
  </si>
  <si>
    <t>Direct</t>
  </si>
  <si>
    <t>Fertilizers</t>
  </si>
  <si>
    <t>Crop Residues</t>
  </si>
  <si>
    <t>N-Fixing Crops</t>
  </si>
  <si>
    <t>Histosols</t>
  </si>
  <si>
    <t>Livestock</t>
  </si>
  <si>
    <t>Indirect</t>
  </si>
  <si>
    <t>Leaching/Runoff</t>
  </si>
  <si>
    <t>CO2 from Urea Fertilization in Maryland</t>
  </si>
  <si>
    <t>Total Urea Applied to Soil</t>
  </si>
  <si>
    <t>(Ton C/Ton urea)</t>
  </si>
  <si>
    <t>(MTCO2E)</t>
  </si>
  <si>
    <t>Emissions from Liming of Soils are calculated by summing carbon emissions from the application of both limestone and dolomite to soil. The masses of limestone and dolomite are multiplied by their carbon emission factors, converted to million metric tons carbon dioxide equivalent, and then summed. For more information, please refer to the Agriculture Chapter of the User's Guide.</t>
  </si>
  <si>
    <t>CO2 from Liming of Agric Soils in Maryland</t>
  </si>
  <si>
    <t>Total Applied to Soil</t>
  </si>
  <si>
    <t>Total Carbon Dioxide Emissions</t>
  </si>
  <si>
    <t>('000 Metric Tons)</t>
  </si>
  <si>
    <t>(Ton C/Ton limestone)</t>
  </si>
  <si>
    <r>
      <t>MMTCO</t>
    </r>
    <r>
      <rPr>
        <b/>
        <vertAlign val="subscript"/>
        <sz val="11"/>
        <color rgb="FFFFFFFF"/>
        <rFont val="Calibri"/>
        <family val="2"/>
      </rPr>
      <t>2</t>
    </r>
    <r>
      <rPr>
        <b/>
        <sz val="11"/>
        <color rgb="FFFFFFFF"/>
        <rFont val="Calibri"/>
        <family val="2"/>
      </rPr>
      <t>e</t>
    </r>
  </si>
  <si>
    <r>
      <t>Energy Use (CO</t>
    </r>
    <r>
      <rPr>
        <vertAlign val="subscript"/>
        <sz val="11"/>
        <color theme="1"/>
        <rFont val="Calibri"/>
        <family val="2"/>
      </rPr>
      <t>2</t>
    </r>
    <r>
      <rPr>
        <sz val="11"/>
        <color theme="1"/>
        <rFont val="Calibri"/>
        <family val="2"/>
      </rPr>
      <t>, CH</t>
    </r>
    <r>
      <rPr>
        <vertAlign val="subscript"/>
        <sz val="11"/>
        <color theme="1"/>
        <rFont val="Calibri"/>
        <family val="2"/>
      </rPr>
      <t>4</t>
    </r>
    <r>
      <rPr>
        <sz val="11"/>
        <color theme="1"/>
        <rFont val="Calibri"/>
        <family val="2"/>
      </rPr>
      <t>, N</t>
    </r>
    <r>
      <rPr>
        <vertAlign val="subscript"/>
        <sz val="11"/>
        <color theme="1"/>
        <rFont val="Calibri"/>
        <family val="2"/>
      </rPr>
      <t>2</t>
    </r>
    <r>
      <rPr>
        <sz val="11"/>
        <color theme="1"/>
        <rFont val="Calibri"/>
        <family val="2"/>
      </rPr>
      <t>O)</t>
    </r>
  </si>
  <si>
    <r>
      <t>CO</t>
    </r>
    <r>
      <rPr>
        <vertAlign val="subscript"/>
        <sz val="11"/>
        <color theme="1"/>
        <rFont val="Calibri"/>
        <family val="2"/>
      </rPr>
      <t>2</t>
    </r>
  </si>
  <si>
    <r>
      <t>CH</t>
    </r>
    <r>
      <rPr>
        <vertAlign val="subscript"/>
        <sz val="11"/>
        <color theme="1"/>
        <rFont val="Calibri"/>
        <family val="2"/>
      </rPr>
      <t>4</t>
    </r>
  </si>
  <si>
    <r>
      <t>N</t>
    </r>
    <r>
      <rPr>
        <vertAlign val="subscript"/>
        <sz val="11"/>
        <color theme="1"/>
        <rFont val="Calibri"/>
        <family val="2"/>
      </rPr>
      <t>2</t>
    </r>
    <r>
      <rPr>
        <sz val="11"/>
        <color theme="1"/>
        <rFont val="Calibri"/>
        <family val="2"/>
      </rPr>
      <t>O</t>
    </r>
  </si>
  <si>
    <t>Natural Gas &amp; LPG</t>
  </si>
  <si>
    <t xml:space="preserve">Wood </t>
  </si>
  <si>
    <t>Natural Gas Industry</t>
  </si>
  <si>
    <t>Oil Industry</t>
  </si>
  <si>
    <t xml:space="preserve">Limestone and Dolomite </t>
  </si>
  <si>
    <t xml:space="preserve">Soda Ash </t>
  </si>
  <si>
    <t>Iron and Steel</t>
  </si>
  <si>
    <r>
      <t>HFC, PFC, SF</t>
    </r>
    <r>
      <rPr>
        <vertAlign val="subscript"/>
        <sz val="11"/>
        <color theme="1"/>
        <rFont val="Calibri"/>
        <family val="2"/>
      </rPr>
      <t>6</t>
    </r>
  </si>
  <si>
    <t>Electricity Transmission and Dist.</t>
  </si>
  <si>
    <t>Ammonia and Urea Production (Nonfertilizer Usage)</t>
  </si>
  <si>
    <t>2006 (20-yr)</t>
  </si>
  <si>
    <t>2006 (100-yr)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</si>
</sst>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41" formatCode="_(* #,##0_);_(* \(#,##0\);_(* &quot;-&quot;_);_(@_)"/>
    <numFmt numFmtId="43" formatCode="_(* #,##0.00_);_(* \(#,##0.00\);_(* &quot;-&quot;??_);_(@_)"/>
    <numFmt numFmtId="164" formatCode="0.000000"/>
    <numFmt numFmtId="165" formatCode="#,##0.00000_);\(#,##0.00000\)"/>
    <numFmt numFmtId="166" formatCode="#,##0.000000_);\(#,##0.000000\)"/>
    <numFmt numFmtId="167" formatCode="_(* #,##0_);_(* \(#,##0\);_(* &quot;-&quot;??_);_(@_)"/>
    <numFmt numFmtId="168" formatCode="0.0000"/>
    <numFmt numFmtId="169" formatCode="0.0"/>
    <numFmt numFmtId="170" formatCode="0.000"/>
    <numFmt numFmtId="171" formatCode="_(* #,##0.00000_);_(* \(#,##0.00000\);_(* &quot;-&quot;??_);_(@_)"/>
    <numFmt numFmtId="172" formatCode="#,##0.000"/>
    <numFmt numFmtId="173" formatCode="#,##0.0000"/>
    <numFmt numFmtId="174" formatCode="#,##0.0"/>
    <numFmt numFmtId="175" formatCode="0_);\(0\)"/>
    <numFmt numFmtId="176" formatCode="0.00000"/>
    <numFmt numFmtId="177" formatCode="_(* #,##0.000_);_(* \(#,##0.000\);_(* &quot;-&quot;??_);_(@_)"/>
    <numFmt numFmtId="178" formatCode="_(* #,##0.0000_);_(* \(#,##0.0000\);_(* &quot;-&quot;??_);_(@_)"/>
    <numFmt numFmtId="179" formatCode="0.0%"/>
    <numFmt numFmtId="180" formatCode="_(* #,##0.000000_);_(* \(#,##0.000000\);_(* &quot;-&quot;??????_);_(@_)"/>
    <numFmt numFmtId="181" formatCode="0.00_)"/>
    <numFmt numFmtId="182" formatCode="0_)"/>
    <numFmt numFmtId="183" formatCode="0.0000%"/>
    <numFmt numFmtId="184" formatCode="0.0000000000"/>
    <numFmt numFmtId="185" formatCode="0.000_)"/>
    <numFmt numFmtId="186" formatCode="0.00000000"/>
    <numFmt numFmtId="187" formatCode="0.000000000"/>
    <numFmt numFmtId="188" formatCode="_(* #,##0.00000000_);_(* \(#,##0.00000000\);_(* &quot;-&quot;??_);_(@_)"/>
    <numFmt numFmtId="189" formatCode="_(* #,##0.0_);_(* \(#,##0.0\);_(* &quot;-&quot;??_);_(@_)"/>
    <numFmt numFmtId="190" formatCode="#,##0.000000"/>
    <numFmt numFmtId="191" formatCode="_(* #,##0.000000_);_(* \(#,##0.000000\);_(* &quot;-&quot;??_);_(@_)"/>
    <numFmt numFmtId="192" formatCode="_(* #,##0.0000000_);_(* \(#,##0.0000000\);_(* &quot;-&quot;??_);_(@_)"/>
    <numFmt numFmtId="193" formatCode="0E+00"/>
    <numFmt numFmtId="194" formatCode="_(* #,##0.00000000_);_(* \(#,##0.00000000\);_(* &quot;-&quot;????????_);_(@_)"/>
    <numFmt numFmtId="195" formatCode="0.00000000000000000%"/>
    <numFmt numFmtId="196" formatCode="0.0000000"/>
  </numFmts>
  <fonts count="170">
    <font>
      <sz val="8"/>
      <color rgb="FF000000"/>
      <name val="Calibri"/>
      <scheme val="minor"/>
    </font>
    <font>
      <sz val="8"/>
      <color rgb="FF000000"/>
      <name val="Arial"/>
    </font>
    <font>
      <b/>
      <sz val="14"/>
      <color theme="1"/>
      <name val="Calibri"/>
    </font>
    <font>
      <sz val="14"/>
      <color theme="1"/>
      <name val="Calibri"/>
    </font>
    <font>
      <i/>
      <sz val="26"/>
      <color theme="1"/>
      <name val="Engravers mt"/>
    </font>
    <font>
      <sz val="11"/>
      <color theme="1"/>
      <name val="Calibri"/>
    </font>
    <font>
      <sz val="8"/>
      <color theme="1"/>
      <name val="Calibri"/>
    </font>
    <font>
      <sz val="9"/>
      <color theme="1"/>
      <name val="Calibri"/>
    </font>
    <font>
      <sz val="8"/>
      <name val="Calibri"/>
    </font>
    <font>
      <sz val="7"/>
      <color theme="1"/>
      <name val="Arial"/>
    </font>
    <font>
      <b/>
      <sz val="11"/>
      <color theme="1"/>
      <name val="Calibri"/>
    </font>
    <font>
      <i/>
      <sz val="11"/>
      <color theme="1"/>
      <name val="Calibri"/>
    </font>
    <font>
      <sz val="8"/>
      <color theme="1"/>
      <name val="Arial"/>
    </font>
    <font>
      <b/>
      <sz val="14"/>
      <color theme="1"/>
      <name val="Comic Sans MS"/>
    </font>
    <font>
      <b/>
      <sz val="8"/>
      <color theme="1"/>
      <name val="Comic Sans MS"/>
    </font>
    <font>
      <sz val="14"/>
      <color theme="1"/>
      <name val="Comic Sans MS"/>
    </font>
    <font>
      <b/>
      <sz val="9"/>
      <color theme="1"/>
      <name val="Calibri"/>
    </font>
    <font>
      <b/>
      <sz val="9"/>
      <color rgb="FF000000"/>
      <name val="Calibri"/>
    </font>
    <font>
      <sz val="7"/>
      <color theme="1"/>
      <name val="Comic Sans MS"/>
    </font>
    <font>
      <sz val="8"/>
      <color theme="1"/>
      <name val="Comic Sans MS"/>
    </font>
    <font>
      <b/>
      <sz val="11"/>
      <color rgb="FF1155CC"/>
      <name val="Calibri"/>
    </font>
    <font>
      <u/>
      <sz val="11"/>
      <color rgb="FF0563C1"/>
      <name val="Calibri"/>
    </font>
    <font>
      <b/>
      <sz val="9"/>
      <color theme="1"/>
      <name val="Arial"/>
    </font>
    <font>
      <i/>
      <sz val="9"/>
      <color theme="1"/>
      <name val="Calibri"/>
    </font>
    <font>
      <sz val="9"/>
      <color theme="1"/>
      <name val="Arial"/>
    </font>
    <font>
      <b/>
      <sz val="8"/>
      <color theme="1"/>
      <name val="Calibri"/>
    </font>
    <font>
      <b/>
      <sz val="8"/>
      <color theme="1"/>
      <name val="&quot;Comic Sans MS&quot;"/>
    </font>
    <font>
      <sz val="8"/>
      <color theme="1"/>
      <name val="&quot;Comic Sans MS&quot;"/>
    </font>
    <font>
      <b/>
      <sz val="8"/>
      <color rgb="FFFFFFFF"/>
      <name val="&quot;Comic Sans MS&quot;"/>
    </font>
    <font>
      <sz val="8"/>
      <color theme="1"/>
      <name val="Calibri"/>
      <scheme val="minor"/>
    </font>
    <font>
      <b/>
      <sz val="16"/>
      <color rgb="FF0000FF"/>
      <name val="Calibri"/>
    </font>
    <font>
      <sz val="10"/>
      <color rgb="FFFF0000"/>
      <name val="Arial"/>
    </font>
    <font>
      <sz val="10"/>
      <color rgb="FF0000FF"/>
      <name val="Arial"/>
    </font>
    <font>
      <b/>
      <sz val="10"/>
      <color theme="1"/>
      <name val="Arial"/>
    </font>
    <font>
      <b/>
      <sz val="10"/>
      <color rgb="FFFF0000"/>
      <name val="Arial"/>
    </font>
    <font>
      <sz val="10"/>
      <color theme="1"/>
      <name val="Arial"/>
    </font>
    <font>
      <b/>
      <sz val="10"/>
      <color rgb="FF000000"/>
      <name val="Arial"/>
    </font>
    <font>
      <sz val="10"/>
      <color rgb="FF000000"/>
      <name val="Arial"/>
    </font>
    <font>
      <b/>
      <sz val="10"/>
      <color rgb="FF008000"/>
      <name val="Arial"/>
    </font>
    <font>
      <b/>
      <sz val="10"/>
      <color rgb="FF0000FF"/>
      <name val="Arial"/>
    </font>
    <font>
      <b/>
      <sz val="12"/>
      <color rgb="FF008000"/>
      <name val="Arial"/>
    </font>
    <font>
      <b/>
      <sz val="11"/>
      <color rgb="FF008000"/>
      <name val="Arial"/>
    </font>
    <font>
      <sz val="14"/>
      <color rgb="FF000000"/>
      <name val="Comic Sans MS"/>
    </font>
    <font>
      <sz val="8"/>
      <color rgb="FF000000"/>
      <name val="Comic Sans MS"/>
    </font>
    <font>
      <b/>
      <sz val="10"/>
      <color rgb="FF000000"/>
      <name val="Comic Sans MS"/>
    </font>
    <font>
      <b/>
      <sz val="10"/>
      <color theme="1"/>
      <name val="Comic Sans MS"/>
    </font>
    <font>
      <sz val="10"/>
      <color rgb="FF000000"/>
      <name val="Comic Sans MS"/>
    </font>
    <font>
      <sz val="10"/>
      <color theme="1"/>
      <name val="Comic Sans MS"/>
    </font>
    <font>
      <b/>
      <sz val="7"/>
      <color theme="1"/>
      <name val="Comic Sans MS"/>
    </font>
    <font>
      <b/>
      <sz val="8"/>
      <color rgb="FF000000"/>
      <name val="Arial"/>
    </font>
    <font>
      <sz val="10"/>
      <color theme="1"/>
      <name val="Calibri"/>
    </font>
    <font>
      <b/>
      <sz val="10"/>
      <color theme="1"/>
      <name val="Calibri"/>
    </font>
    <font>
      <b/>
      <sz val="10"/>
      <color rgb="FFFF0000"/>
      <name val="Calibri"/>
    </font>
    <font>
      <sz val="10"/>
      <color rgb="FFFF0000"/>
      <name val="Calibri"/>
    </font>
    <font>
      <b/>
      <sz val="14"/>
      <color rgb="FF0000FF"/>
      <name val="Calibri"/>
    </font>
    <font>
      <sz val="10"/>
      <color rgb="FF000000"/>
      <name val="Calibri"/>
    </font>
    <font>
      <b/>
      <sz val="10"/>
      <color rgb="FF000000"/>
      <name val="Calibri"/>
    </font>
    <font>
      <sz val="10"/>
      <color rgb="FF000080"/>
      <name val="Comic Sans MS"/>
    </font>
    <font>
      <b/>
      <sz val="10"/>
      <color theme="1"/>
      <name val="Open Sans"/>
    </font>
    <font>
      <b/>
      <sz val="10"/>
      <color rgb="FF0000FF"/>
      <name val="Open Sans"/>
    </font>
    <font>
      <sz val="10"/>
      <color rgb="FF0000FF"/>
      <name val="Open Sans"/>
    </font>
    <font>
      <b/>
      <sz val="10"/>
      <color rgb="FFFF0000"/>
      <name val="Open Sans"/>
    </font>
    <font>
      <sz val="10"/>
      <color rgb="FFFF0000"/>
      <name val="Open Sans"/>
    </font>
    <font>
      <b/>
      <sz val="10"/>
      <color rgb="FF993366"/>
      <name val="Open Sans"/>
    </font>
    <font>
      <sz val="10"/>
      <color rgb="FF993366"/>
      <name val="Open Sans"/>
    </font>
    <font>
      <b/>
      <sz val="8"/>
      <color theme="1"/>
      <name val="Open Sans"/>
    </font>
    <font>
      <sz val="8"/>
      <color rgb="FFFF0000"/>
      <name val="Arial"/>
    </font>
    <font>
      <sz val="14"/>
      <color rgb="FF000000"/>
      <name val="Calibri"/>
    </font>
    <font>
      <b/>
      <sz val="8"/>
      <color theme="1"/>
      <name val="Arial"/>
    </font>
    <font>
      <b/>
      <sz val="7"/>
      <color rgb="FF000000"/>
      <name val="Comic Sans MS"/>
    </font>
    <font>
      <sz val="7"/>
      <color rgb="FF000000"/>
      <name val="Comic Sans MS"/>
    </font>
    <font>
      <sz val="7"/>
      <color rgb="FF000000"/>
      <name val="Arial"/>
    </font>
    <font>
      <sz val="7"/>
      <color rgb="FFFFFFFF"/>
      <name val="Arial"/>
    </font>
    <font>
      <b/>
      <sz val="10"/>
      <color rgb="FFFFFFFF"/>
      <name val="Calibri"/>
    </font>
    <font>
      <i/>
      <sz val="10"/>
      <color theme="1"/>
      <name val="Calibri"/>
    </font>
    <font>
      <b/>
      <sz val="7"/>
      <color theme="1"/>
      <name val="Arial"/>
    </font>
    <font>
      <b/>
      <sz val="8"/>
      <color rgb="FFFF0000"/>
      <name val="Comic Sans MS"/>
    </font>
    <font>
      <b/>
      <sz val="8"/>
      <color rgb="FFFF0000"/>
      <name val="Arial"/>
    </font>
    <font>
      <sz val="8"/>
      <color rgb="FF0000FF"/>
      <name val="Arial"/>
    </font>
    <font>
      <sz val="10"/>
      <color theme="1"/>
      <name val="Times New Roman"/>
    </font>
    <font>
      <b/>
      <sz val="10"/>
      <color theme="1"/>
      <name val="Times New Roman"/>
    </font>
    <font>
      <b/>
      <sz val="10"/>
      <color rgb="FFFFFFFF"/>
      <name val="Times New Roman"/>
    </font>
    <font>
      <sz val="14"/>
      <color theme="1"/>
      <name val="&quot;comic sans ms&quot;"/>
    </font>
    <font>
      <b/>
      <sz val="10"/>
      <color rgb="FFFF6600"/>
      <name val="Arial"/>
    </font>
    <font>
      <sz val="11"/>
      <color rgb="FF0000FF"/>
      <name val="Calibri"/>
    </font>
    <font>
      <b/>
      <sz val="7"/>
      <color rgb="FFFF0000"/>
      <name val="Comic Sans MS"/>
    </font>
    <font>
      <sz val="7"/>
      <color rgb="FFFF0000"/>
      <name val="Comic Sans MS"/>
    </font>
    <font>
      <sz val="10"/>
      <color rgb="FFFFFFFF"/>
      <name val="Calibri"/>
    </font>
    <font>
      <b/>
      <sz val="7"/>
      <color theme="1"/>
      <name val="Calibri"/>
    </font>
    <font>
      <sz val="7"/>
      <color theme="1"/>
      <name val="Calibri"/>
    </font>
    <font>
      <b/>
      <i/>
      <sz val="7"/>
      <color theme="1"/>
      <name val="Calibri"/>
    </font>
    <font>
      <b/>
      <sz val="14"/>
      <color rgb="FF000080"/>
      <name val="Calibri"/>
    </font>
    <font>
      <i/>
      <sz val="8"/>
      <color theme="1"/>
      <name val="Calibri"/>
    </font>
    <font>
      <b/>
      <sz val="14"/>
      <color rgb="FF000080"/>
      <name val="Comic Sans MS"/>
    </font>
    <font>
      <sz val="14"/>
      <color theme="1"/>
      <name val="Arial"/>
    </font>
    <font>
      <b/>
      <sz val="12"/>
      <color rgb="FF000000"/>
      <name val="Comic Sans MS"/>
    </font>
    <font>
      <sz val="12"/>
      <color theme="1"/>
      <name val="Comic Sans MS"/>
    </font>
    <font>
      <sz val="7"/>
      <color theme="1"/>
      <name val="@batang"/>
    </font>
    <font>
      <sz val="7"/>
      <color rgb="FFFFFFFF"/>
      <name val="Comic Sans MS"/>
    </font>
    <font>
      <sz val="10"/>
      <color rgb="FFFFFFFF"/>
      <name val="Arial"/>
    </font>
    <font>
      <sz val="8"/>
      <color rgb="FFFF0000"/>
      <name val="Calibri"/>
    </font>
    <font>
      <sz val="8"/>
      <color rgb="FF000000"/>
      <name val="Calibri"/>
    </font>
    <font>
      <sz val="8"/>
      <color rgb="FFFFFFFF"/>
      <name val="Calibri"/>
    </font>
    <font>
      <sz val="18"/>
      <color theme="1"/>
      <name val="Arial"/>
    </font>
    <font>
      <sz val="9"/>
      <color theme="1"/>
      <name val="&quot;Comic Sans MS&quot;"/>
    </font>
    <font>
      <sz val="9"/>
      <color rgb="FFFF0000"/>
      <name val="&quot;Comic Sans MS&quot;"/>
    </font>
    <font>
      <sz val="18"/>
      <color theme="1"/>
      <name val="Roboto"/>
    </font>
    <font>
      <sz val="8"/>
      <color rgb="FF000000"/>
      <name val="&quot;Comic Sans MS&quot;"/>
    </font>
    <font>
      <sz val="8"/>
      <color rgb="FF000000"/>
      <name val="Calibri"/>
      <scheme val="minor"/>
    </font>
    <font>
      <b/>
      <sz val="8"/>
      <color rgb="FF000000"/>
      <name val="Calibri"/>
      <scheme val="minor"/>
    </font>
    <font>
      <b/>
      <vertAlign val="subscript"/>
      <sz val="11"/>
      <color theme="1"/>
      <name val="Calibri"/>
    </font>
    <font>
      <b/>
      <vertAlign val="subscript"/>
      <sz val="9"/>
      <color theme="1"/>
      <name val="Calibri"/>
    </font>
    <font>
      <sz val="11"/>
      <color rgb="FF1155CC"/>
      <name val="Calibri"/>
    </font>
    <font>
      <b/>
      <vertAlign val="subscript"/>
      <sz val="10"/>
      <color theme="1"/>
      <name val="Arial"/>
    </font>
    <font>
      <vertAlign val="subscript"/>
      <sz val="14"/>
      <color rgb="FF000000"/>
      <name val="Comic Sans MS"/>
    </font>
    <font>
      <b/>
      <vertAlign val="subscript"/>
      <sz val="10"/>
      <color theme="1"/>
      <name val="Comic Sans MS"/>
    </font>
    <font>
      <vertAlign val="subscript"/>
      <sz val="14"/>
      <color theme="1"/>
      <name val="Comic Sans MS"/>
    </font>
    <font>
      <b/>
      <vertAlign val="subscript"/>
      <sz val="10"/>
      <color rgb="FF000000"/>
      <name val="Calibri"/>
    </font>
    <font>
      <b/>
      <vertAlign val="subscript"/>
      <sz val="10"/>
      <color theme="1"/>
      <name val="Calibri"/>
    </font>
    <font>
      <b/>
      <sz val="10"/>
      <color rgb="FF339966"/>
      <name val="MS Sans Serif"/>
    </font>
    <font>
      <b/>
      <sz val="10"/>
      <color theme="1"/>
      <name val="MS Sans Serif"/>
    </font>
    <font>
      <b/>
      <sz val="10"/>
      <color rgb="FF0000FF"/>
      <name val="MS Sans Serif"/>
    </font>
    <font>
      <sz val="10"/>
      <color rgb="FF0000FF"/>
      <name val="MS Sans Serif"/>
    </font>
    <font>
      <sz val="10"/>
      <color theme="1"/>
      <name val="MS Sans Serif"/>
    </font>
    <font>
      <sz val="10"/>
      <color rgb="FFFF0000"/>
      <name val="MS Sans Serif"/>
    </font>
    <font>
      <sz val="10"/>
      <color rgb="FF993366"/>
      <name val="MS Sans Serif"/>
    </font>
    <font>
      <sz val="10"/>
      <color rgb="FF339966"/>
      <name val="MS Sans Serif"/>
    </font>
    <font>
      <vertAlign val="subscript"/>
      <sz val="10"/>
      <color theme="1"/>
      <name val="MS Sans Serif"/>
    </font>
    <font>
      <b/>
      <vertAlign val="subscript"/>
      <sz val="8"/>
      <color theme="1"/>
      <name val="MS Sans Serif"/>
    </font>
    <font>
      <b/>
      <vertAlign val="subscript"/>
      <sz val="10"/>
      <color theme="1"/>
      <name val="MS Sans Serif"/>
    </font>
    <font>
      <b/>
      <vertAlign val="subscript"/>
      <sz val="7"/>
      <color theme="1"/>
      <name val="Comic Sans MS"/>
    </font>
    <font>
      <b/>
      <vertAlign val="superscript"/>
      <sz val="10"/>
      <color rgb="FFFFFFFF"/>
      <name val="Calibri"/>
    </font>
    <font>
      <b/>
      <i/>
      <sz val="10"/>
      <color rgb="FFFFFFFF"/>
      <name val="Calibri"/>
    </font>
    <font>
      <b/>
      <vertAlign val="subscript"/>
      <sz val="8"/>
      <color theme="1"/>
      <name val="Arial"/>
    </font>
    <font>
      <b/>
      <vertAlign val="subscript"/>
      <sz val="8"/>
      <color rgb="FF000000"/>
      <name val="Arial"/>
    </font>
    <font>
      <vertAlign val="subscript"/>
      <sz val="10"/>
      <color theme="1"/>
      <name val="Arial"/>
    </font>
    <font>
      <vertAlign val="subscript"/>
      <sz val="10"/>
      <color rgb="FFFF0000"/>
      <name val="Arial"/>
    </font>
    <font>
      <b/>
      <vertAlign val="subscript"/>
      <sz val="10"/>
      <color theme="1"/>
      <name val="Times New Roman"/>
    </font>
    <font>
      <vertAlign val="subscript"/>
      <sz val="8"/>
      <color theme="1"/>
      <name val="Arial"/>
    </font>
    <font>
      <b/>
      <vertAlign val="subscript"/>
      <sz val="9"/>
      <color theme="1"/>
      <name val="Arial"/>
    </font>
    <font>
      <b/>
      <vertAlign val="subscript"/>
      <sz val="10"/>
      <color rgb="FFFF6600"/>
      <name val="Arial"/>
    </font>
    <font>
      <b/>
      <vertAlign val="subscript"/>
      <sz val="10"/>
      <color rgb="FFFF0000"/>
      <name val="Arial"/>
    </font>
    <font>
      <b/>
      <vertAlign val="superscript"/>
      <sz val="10"/>
      <color theme="1"/>
      <name val="Arial"/>
    </font>
    <font>
      <b/>
      <vertAlign val="subscript"/>
      <sz val="8"/>
      <color theme="1"/>
      <name val="Comic Sans MS"/>
    </font>
    <font>
      <vertAlign val="subscript"/>
      <sz val="8"/>
      <color theme="1"/>
      <name val="Comic Sans MS"/>
    </font>
    <font>
      <i/>
      <sz val="10"/>
      <color theme="1"/>
      <name val="Arial"/>
    </font>
    <font>
      <vertAlign val="subscript"/>
      <sz val="7"/>
      <color theme="1"/>
      <name val="Comic Sans MS"/>
    </font>
    <font>
      <b/>
      <vertAlign val="subscript"/>
      <sz val="7"/>
      <color theme="1"/>
      <name val="Calibri"/>
    </font>
    <font>
      <b/>
      <vertAlign val="superscript"/>
      <sz val="7"/>
      <color theme="1"/>
      <name val="Calibri"/>
    </font>
    <font>
      <vertAlign val="superscript"/>
      <sz val="7"/>
      <color theme="1"/>
      <name val="Comic Sans MS"/>
    </font>
    <font>
      <b/>
      <vertAlign val="subscript"/>
      <sz val="7"/>
      <color theme="1"/>
      <name val="Arial"/>
    </font>
    <font>
      <b/>
      <vertAlign val="superscript"/>
      <sz val="7"/>
      <color theme="1"/>
      <name val="Comic Sans MS"/>
    </font>
    <font>
      <b/>
      <vertAlign val="subscript"/>
      <sz val="8"/>
      <color theme="1"/>
      <name val="Calibri"/>
    </font>
    <font>
      <vertAlign val="subscript"/>
      <sz val="8"/>
      <color theme="1"/>
      <name val="Calibri"/>
    </font>
    <font>
      <b/>
      <sz val="14"/>
      <color rgb="FF000000"/>
      <name val="Calibri"/>
      <family val="2"/>
      <scheme val="minor"/>
    </font>
    <font>
      <sz val="8"/>
      <color theme="1"/>
      <name val="Calibri"/>
      <family val="2"/>
    </font>
    <font>
      <b/>
      <sz val="11"/>
      <color rgb="FFFFFFFF"/>
      <name val="Calibri"/>
      <family val="2"/>
    </font>
    <font>
      <b/>
      <vertAlign val="subscript"/>
      <sz val="11"/>
      <color rgb="FFFFFFFF"/>
      <name val="Calibri"/>
      <family val="2"/>
    </font>
    <font>
      <sz val="11"/>
      <name val="Calibri"/>
      <family val="2"/>
    </font>
    <font>
      <b/>
      <sz val="14"/>
      <color theme="1"/>
      <name val="Calibri"/>
      <family val="2"/>
      <scheme val="major"/>
    </font>
    <font>
      <sz val="14"/>
      <name val="Calibri"/>
      <family val="2"/>
      <scheme val="major"/>
    </font>
    <font>
      <sz val="11"/>
      <color theme="1"/>
      <name val="Calibri"/>
      <family val="2"/>
    </font>
    <font>
      <vertAlign val="subscript"/>
      <sz val="11"/>
      <color theme="1"/>
      <name val="Calibri"/>
      <family val="2"/>
    </font>
    <font>
      <sz val="8"/>
      <name val="Calibri"/>
      <family val="2"/>
    </font>
    <font>
      <b/>
      <sz val="11"/>
      <color theme="1"/>
      <name val="Calibri"/>
      <family val="2"/>
    </font>
    <font>
      <i/>
      <sz val="11"/>
      <color theme="1"/>
      <name val="Calibri"/>
      <family val="2"/>
    </font>
    <font>
      <sz val="11"/>
      <color rgb="FFFF0000"/>
      <name val="Calibri"/>
      <family val="2"/>
    </font>
    <font>
      <b/>
      <sz val="8"/>
      <color theme="1"/>
      <name val="Calibri"/>
      <family val="2"/>
    </font>
    <font>
      <sz val="7"/>
      <color theme="1"/>
      <name val="Arial"/>
      <family val="2"/>
    </font>
    <font>
      <sz val="11"/>
      <name val="Arial"/>
      <family val="2"/>
    </font>
  </fonts>
  <fills count="39">
    <fill>
      <patternFill patternType="none"/>
    </fill>
    <fill>
      <patternFill patternType="gray125"/>
    </fill>
    <fill>
      <patternFill patternType="solid">
        <fgColor rgb="FFFFFFFF"/>
        <bgColor rgb="FFFFFFFF"/>
      </patternFill>
    </fill>
    <fill>
      <patternFill patternType="solid">
        <fgColor rgb="FF333333"/>
        <bgColor rgb="FF333333"/>
      </patternFill>
    </fill>
    <fill>
      <patternFill patternType="solid">
        <fgColor rgb="FFFFFF99"/>
        <bgColor rgb="FFFFFF99"/>
      </patternFill>
    </fill>
    <fill>
      <patternFill patternType="solid">
        <fgColor rgb="FFD9D9D9"/>
        <bgColor rgb="FFD9D9D9"/>
      </patternFill>
    </fill>
    <fill>
      <patternFill patternType="solid">
        <fgColor rgb="FFCCFFFF"/>
        <bgColor rgb="FFCCFFFF"/>
      </patternFill>
    </fill>
    <fill>
      <patternFill patternType="solid">
        <fgColor rgb="FFCCFFCC"/>
        <bgColor rgb="FFCCFFCC"/>
      </patternFill>
    </fill>
    <fill>
      <patternFill patternType="solid">
        <fgColor rgb="FFCC99FF"/>
        <bgColor rgb="FFCC99FF"/>
      </patternFill>
    </fill>
    <fill>
      <patternFill patternType="solid">
        <fgColor rgb="FFBFBFBF"/>
        <bgColor rgb="FFBFBFBF"/>
      </patternFill>
    </fill>
    <fill>
      <patternFill patternType="solid">
        <fgColor rgb="FFA4C2F4"/>
        <bgColor rgb="FFA4C2F4"/>
      </patternFill>
    </fill>
    <fill>
      <patternFill patternType="solid">
        <fgColor rgb="FFFCE4D6"/>
        <bgColor rgb="FFFCE4D6"/>
      </patternFill>
    </fill>
    <fill>
      <patternFill patternType="solid">
        <fgColor rgb="FFB7B7B7"/>
        <bgColor rgb="FFB7B7B7"/>
      </patternFill>
    </fill>
    <fill>
      <patternFill patternType="solid">
        <fgColor rgb="FF999999"/>
        <bgColor rgb="FF999999"/>
      </patternFill>
    </fill>
    <fill>
      <patternFill patternType="solid">
        <fgColor rgb="FFC0C0C0"/>
        <bgColor rgb="FFC0C0C0"/>
      </patternFill>
    </fill>
    <fill>
      <patternFill patternType="solid">
        <fgColor rgb="FFCCCCCC"/>
        <bgColor rgb="FFCCCCCC"/>
      </patternFill>
    </fill>
    <fill>
      <patternFill patternType="solid">
        <fgColor rgb="FF99CC00"/>
        <bgColor rgb="FF99CC00"/>
      </patternFill>
    </fill>
    <fill>
      <patternFill patternType="solid">
        <fgColor rgb="FFFFF2CC"/>
        <bgColor rgb="FFFFF2CC"/>
      </patternFill>
    </fill>
    <fill>
      <patternFill patternType="solid">
        <fgColor rgb="FFFF99CC"/>
        <bgColor rgb="FFFF99CC"/>
      </patternFill>
    </fill>
    <fill>
      <patternFill patternType="solid">
        <fgColor rgb="FFFCE5CD"/>
        <bgColor rgb="FFFCE5CD"/>
      </patternFill>
    </fill>
    <fill>
      <patternFill patternType="solid">
        <fgColor rgb="FFCFE2F3"/>
        <bgColor rgb="FFCFE2F3"/>
      </patternFill>
    </fill>
    <fill>
      <patternFill patternType="solid">
        <fgColor rgb="FFEAD1DC"/>
        <bgColor rgb="FFEAD1DC"/>
      </patternFill>
    </fill>
    <fill>
      <patternFill patternType="solid">
        <fgColor rgb="FFD9EAD3"/>
        <bgColor rgb="FFD9EAD3"/>
      </patternFill>
    </fill>
    <fill>
      <patternFill patternType="solid">
        <fgColor rgb="FFEFEFEF"/>
        <bgColor rgb="FFEFEFEF"/>
      </patternFill>
    </fill>
    <fill>
      <patternFill patternType="solid">
        <fgColor rgb="FFFFCC99"/>
        <bgColor rgb="FFFFCC99"/>
      </patternFill>
    </fill>
    <fill>
      <patternFill patternType="solid">
        <fgColor rgb="FFFFFF00"/>
        <bgColor rgb="FFFFFF00"/>
      </patternFill>
    </fill>
    <fill>
      <patternFill patternType="solid">
        <fgColor rgb="FF00CCFF"/>
        <bgColor rgb="FF00CCFF"/>
      </patternFill>
    </fill>
    <fill>
      <patternFill patternType="solid">
        <fgColor rgb="FFFF6600"/>
        <bgColor rgb="FFFF6600"/>
      </patternFill>
    </fill>
    <fill>
      <patternFill patternType="solid">
        <fgColor rgb="FF339966"/>
        <bgColor rgb="FF339966"/>
      </patternFill>
    </fill>
    <fill>
      <patternFill patternType="solid">
        <fgColor rgb="FF666699"/>
        <bgColor rgb="FF666699"/>
      </patternFill>
    </fill>
    <fill>
      <patternFill patternType="solid">
        <fgColor rgb="FF99CCFF"/>
        <bgColor rgb="FF99CCFF"/>
      </patternFill>
    </fill>
    <fill>
      <patternFill patternType="solid">
        <fgColor rgb="FF33CCCC"/>
        <bgColor rgb="FF33CCCC"/>
      </patternFill>
    </fill>
    <fill>
      <patternFill patternType="solid">
        <fgColor rgb="FFFFCC00"/>
        <bgColor rgb="FFFFCC00"/>
      </patternFill>
    </fill>
    <fill>
      <patternFill patternType="solid">
        <fgColor rgb="FF00FF00"/>
        <bgColor rgb="FF00FF00"/>
      </patternFill>
    </fill>
    <fill>
      <patternFill patternType="solid">
        <fgColor rgb="FFFFE599"/>
        <bgColor rgb="FFFFE599"/>
      </patternFill>
    </fill>
    <fill>
      <patternFill patternType="solid">
        <fgColor rgb="FFF4CCCC"/>
        <bgColor rgb="FFF4CCCC"/>
      </patternFill>
    </fill>
    <fill>
      <patternFill patternType="solid">
        <fgColor rgb="FFFFFF99"/>
        <bgColor indexed="64"/>
      </patternFill>
    </fill>
    <fill>
      <patternFill patternType="solid">
        <fgColor theme="0" tint="-0.249977111117893"/>
        <bgColor rgb="FFFFFF00"/>
      </patternFill>
    </fill>
    <fill>
      <patternFill patternType="solid">
        <fgColor theme="0" tint="-0.249977111117893"/>
        <bgColor indexed="64"/>
      </patternFill>
    </fill>
  </fills>
  <borders count="244">
    <border>
      <left/>
      <right/>
      <top/>
      <bottom/>
      <diagonal/>
    </border>
    <border>
      <left/>
      <right style="thin">
        <color rgb="FFC0C0C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right style="medium">
        <color rgb="FF000000"/>
      </right>
      <top/>
      <bottom style="medium">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right/>
      <top style="double">
        <color rgb="FF000000"/>
      </top>
      <bottom/>
      <diagonal/>
    </border>
    <border>
      <left style="double">
        <color rgb="FF000000"/>
      </left>
      <right/>
      <top style="medium">
        <color rgb="FF000000"/>
      </top>
      <bottom/>
      <diagonal/>
    </border>
    <border>
      <left/>
      <right/>
      <top style="medium">
        <color rgb="FF000000"/>
      </top>
      <bottom/>
      <diagonal/>
    </border>
    <border>
      <left/>
      <right style="double">
        <color rgb="FF000000"/>
      </right>
      <top style="medium">
        <color rgb="FF000000"/>
      </top>
      <bottom/>
      <diagonal/>
    </border>
    <border>
      <left style="double">
        <color rgb="FF000000"/>
      </left>
      <right/>
      <top/>
      <bottom/>
      <diagonal/>
    </border>
    <border>
      <left/>
      <right style="double">
        <color rgb="FF000000"/>
      </right>
      <top/>
      <bottom/>
      <diagonal/>
    </border>
    <border>
      <left style="double">
        <color rgb="FF000000"/>
      </left>
      <right/>
      <top/>
      <bottom style="medium">
        <color rgb="FF000000"/>
      </bottom>
      <diagonal/>
    </border>
    <border>
      <left/>
      <right style="double">
        <color rgb="FF000000"/>
      </right>
      <top/>
      <bottom style="medium">
        <color rgb="FF000000"/>
      </bottom>
      <diagonal/>
    </border>
    <border>
      <left/>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style="double">
        <color rgb="FF000000"/>
      </right>
      <top/>
      <bottom/>
      <diagonal/>
    </border>
    <border>
      <left style="double">
        <color rgb="FF000000"/>
      </left>
      <right style="medium">
        <color rgb="FF000000"/>
      </right>
      <top style="double">
        <color rgb="FF000000"/>
      </top>
      <bottom/>
      <diagonal/>
    </border>
    <border>
      <left style="medium">
        <color rgb="FF000000"/>
      </left>
      <right style="medium">
        <color rgb="FF000000"/>
      </right>
      <top style="double">
        <color rgb="FF000000"/>
      </top>
      <bottom/>
      <diagonal/>
    </border>
    <border>
      <left style="medium">
        <color rgb="FF000000"/>
      </left>
      <right style="double">
        <color rgb="FF000000"/>
      </right>
      <top style="double">
        <color rgb="FF000000"/>
      </top>
      <bottom/>
      <diagonal/>
    </border>
    <border>
      <left style="double">
        <color rgb="FF000000"/>
      </left>
      <right style="medium">
        <color rgb="FF000000"/>
      </right>
      <top/>
      <bottom style="medium">
        <color rgb="FF000000"/>
      </bottom>
      <diagonal/>
    </border>
    <border>
      <left style="medium">
        <color rgb="FF000000"/>
      </left>
      <right style="double">
        <color rgb="FF000000"/>
      </right>
      <top/>
      <bottom style="medium">
        <color rgb="FF000000"/>
      </bottom>
      <diagonal/>
    </border>
    <border>
      <left style="double">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double">
        <color rgb="FF000000"/>
      </right>
      <top style="double">
        <color rgb="FF000000"/>
      </top>
      <bottom/>
      <diagonal/>
    </border>
    <border>
      <left style="double">
        <color rgb="FF000000"/>
      </left>
      <right/>
      <top/>
      <bottom style="thin">
        <color rgb="FF000000"/>
      </bottom>
      <diagonal/>
    </border>
    <border>
      <left/>
      <right style="double">
        <color rgb="FF000000"/>
      </right>
      <top/>
      <bottom style="thin">
        <color rgb="FF000000"/>
      </bottom>
      <diagonal/>
    </border>
    <border>
      <left/>
      <right style="medium">
        <color rgb="FF000000"/>
      </right>
      <top style="double">
        <color rgb="FF000000"/>
      </top>
      <bottom/>
      <diagonal/>
    </border>
    <border>
      <left style="double">
        <color rgb="FF000000"/>
      </left>
      <right style="medium">
        <color rgb="FF000000"/>
      </right>
      <top/>
      <bottom/>
      <diagonal/>
    </border>
    <border>
      <left/>
      <right style="medium">
        <color rgb="FF000000"/>
      </right>
      <top/>
      <bottom/>
      <diagonal/>
    </border>
    <border>
      <left style="medium">
        <color rgb="FF000000"/>
      </left>
      <right style="double">
        <color rgb="FF000000"/>
      </right>
      <top/>
      <bottom/>
      <diagonal/>
    </border>
    <border>
      <left style="double">
        <color rgb="FF000000"/>
      </left>
      <right style="medium">
        <color rgb="FF000000"/>
      </right>
      <top/>
      <bottom style="thin">
        <color rgb="FF000000"/>
      </bottom>
      <diagonal/>
    </border>
    <border>
      <left style="thin">
        <color rgb="FF000000"/>
      </left>
      <right style="double">
        <color rgb="FF000000"/>
      </right>
      <top style="medium">
        <color rgb="FF000000"/>
      </top>
      <bottom style="thin">
        <color rgb="FF000000"/>
      </bottom>
      <diagonal/>
    </border>
    <border>
      <left/>
      <right/>
      <top/>
      <bottom/>
      <diagonal/>
    </border>
    <border>
      <left/>
      <right/>
      <top/>
      <bottom/>
      <diagonal/>
    </border>
    <border>
      <left/>
      <right/>
      <top/>
      <bottom/>
      <diagonal/>
    </border>
    <border>
      <left/>
      <right style="double">
        <color rgb="FF000000"/>
      </right>
      <top style="thin">
        <color rgb="FF000000"/>
      </top>
      <bottom style="thin">
        <color rgb="FF000000"/>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right style="thin">
        <color rgb="FF000000"/>
      </right>
      <top/>
      <bottom style="double">
        <color rgb="FF000000"/>
      </bottom>
      <diagonal/>
    </border>
    <border>
      <left style="thin">
        <color rgb="FF000000"/>
      </left>
      <right style="thin">
        <color rgb="FF000000"/>
      </right>
      <top/>
      <bottom/>
      <diagonal/>
    </border>
    <border>
      <left style="thin">
        <color rgb="FF000000"/>
      </left>
      <right style="double">
        <color rgb="FF000000"/>
      </right>
      <top/>
      <bottom/>
      <diagonal/>
    </border>
    <border>
      <left style="thin">
        <color rgb="FF000000"/>
      </left>
      <right style="thin">
        <color rgb="FF000000"/>
      </right>
      <top/>
      <bottom style="medium">
        <color rgb="FF000000"/>
      </bottom>
      <diagonal/>
    </border>
    <border>
      <left style="thin">
        <color rgb="FF000000"/>
      </left>
      <right style="double">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medium">
        <color rgb="FF000000"/>
      </left>
      <right/>
      <top/>
      <bottom style="double">
        <color rgb="FF000000"/>
      </bottom>
      <diagonal/>
    </border>
    <border>
      <left/>
      <right style="medium">
        <color rgb="FF000000"/>
      </right>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bottom style="double">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thin">
        <color rgb="FF000000"/>
      </right>
      <top style="thin">
        <color rgb="FF000000"/>
      </top>
      <bottom/>
      <diagonal/>
    </border>
    <border>
      <left style="double">
        <color rgb="FF000000"/>
      </left>
      <right/>
      <top/>
      <bottom/>
      <diagonal/>
    </border>
    <border>
      <left style="double">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double">
        <color rgb="FF000000"/>
      </left>
      <right/>
      <top/>
      <bottom/>
      <diagonal/>
    </border>
    <border>
      <left style="medium">
        <color rgb="FF000000"/>
      </left>
      <right style="double">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thick">
        <color rgb="FFFF0000"/>
      </right>
      <top/>
      <bottom/>
      <diagonal/>
    </border>
    <border>
      <left/>
      <right style="thick">
        <color rgb="FFFF0000"/>
      </right>
      <top/>
      <bottom style="medium">
        <color rgb="FF000000"/>
      </bottom>
      <diagonal/>
    </border>
    <border>
      <left style="thick">
        <color rgb="FFFF0000"/>
      </left>
      <right style="thick">
        <color rgb="FFFF0000"/>
      </right>
      <top/>
      <bottom style="medium">
        <color rgb="FF000000"/>
      </bottom>
      <diagonal/>
    </border>
    <border>
      <left style="thick">
        <color rgb="FFFF0000"/>
      </left>
      <right style="thin">
        <color rgb="FF000000"/>
      </right>
      <top style="thin">
        <color rgb="FF000000"/>
      </top>
      <bottom style="thin">
        <color rgb="FF000000"/>
      </bottom>
      <diagonal/>
    </border>
    <border>
      <left style="thin">
        <color rgb="FF000000"/>
      </left>
      <right style="thick">
        <color rgb="FFFF0000"/>
      </right>
      <top style="thin">
        <color rgb="FF000000"/>
      </top>
      <bottom style="thin">
        <color rgb="FF000000"/>
      </bottom>
      <diagonal/>
    </border>
    <border>
      <left style="thin">
        <color rgb="FF000000"/>
      </left>
      <right style="thin">
        <color rgb="FF000000"/>
      </right>
      <top/>
      <bottom style="thin">
        <color rgb="FF000000"/>
      </bottom>
      <diagonal/>
    </border>
    <border>
      <left style="thick">
        <color rgb="FFFF0000"/>
      </left>
      <right style="thin">
        <color rgb="FF000000"/>
      </right>
      <top/>
      <bottom style="thin">
        <color rgb="FF000000"/>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style="thick">
        <color rgb="FFFF0000"/>
      </right>
      <top/>
      <bottom style="thick">
        <color rgb="FFFF0000"/>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double">
        <color rgb="FF000000"/>
      </right>
      <top style="thin">
        <color rgb="FF000000"/>
      </top>
      <bottom style="double">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double">
        <color rgb="FF000000"/>
      </right>
      <top style="thin">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style="double">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double">
        <color rgb="FF000000"/>
      </right>
      <top style="medium">
        <color rgb="FF000000"/>
      </top>
      <bottom/>
      <diagonal/>
    </border>
    <border>
      <left style="double">
        <color rgb="FF000000"/>
      </left>
      <right style="thin">
        <color rgb="FF000000"/>
      </right>
      <top/>
      <bottom style="medium">
        <color rgb="FF000000"/>
      </bottom>
      <diagonal/>
    </border>
    <border>
      <left style="thin">
        <color rgb="FF000000"/>
      </left>
      <right style="double">
        <color rgb="FF000000"/>
      </right>
      <top style="thin">
        <color rgb="FF000000"/>
      </top>
      <bottom style="medium">
        <color rgb="FF000000"/>
      </bottom>
      <diagonal/>
    </border>
    <border>
      <left style="double">
        <color rgb="FF000000"/>
      </left>
      <right style="thin">
        <color rgb="FF000000"/>
      </right>
      <top style="medium">
        <color rgb="FF000000"/>
      </top>
      <bottom style="thin">
        <color rgb="FF000000"/>
      </bottom>
      <diagonal/>
    </border>
    <border>
      <left style="medium">
        <color rgb="FF000000"/>
      </left>
      <right style="medium">
        <color rgb="FF000000"/>
      </right>
      <top style="thin">
        <color rgb="FF000000"/>
      </top>
      <bottom style="double">
        <color rgb="FF000000"/>
      </bottom>
      <diagonal/>
    </border>
    <border>
      <left style="double">
        <color rgb="FF000000"/>
      </left>
      <right style="medium">
        <color rgb="FF000000"/>
      </right>
      <top style="medium">
        <color rgb="FF000000"/>
      </top>
      <bottom/>
      <diagonal/>
    </border>
    <border>
      <left style="medium">
        <color rgb="FF000000"/>
      </left>
      <right style="double">
        <color rgb="FF000000"/>
      </right>
      <top style="medium">
        <color rgb="FF000000"/>
      </top>
      <bottom/>
      <diagonal/>
    </border>
    <border>
      <left style="medium">
        <color rgb="FF000000"/>
      </left>
      <right style="double">
        <color rgb="FF000000"/>
      </right>
      <top style="medium">
        <color rgb="FF000000"/>
      </top>
      <bottom style="double">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diagonal/>
    </border>
    <border>
      <left style="double">
        <color rgb="FF000000"/>
      </left>
      <right style="thin">
        <color rgb="FF000000"/>
      </right>
      <top/>
      <bottom/>
      <diagonal/>
    </border>
    <border>
      <left style="thin">
        <color rgb="FF000000"/>
      </left>
      <right style="double">
        <color rgb="FF000000"/>
      </right>
      <top style="medium">
        <color rgb="FF000000"/>
      </top>
      <bottom style="medium">
        <color rgb="FF000000"/>
      </bottom>
      <diagonal/>
    </border>
    <border>
      <left style="thin">
        <color rgb="FF000000"/>
      </left>
      <right style="thin">
        <color rgb="FF000000"/>
      </right>
      <top/>
      <bottom style="double">
        <color rgb="FF000000"/>
      </bottom>
      <diagonal/>
    </border>
    <border>
      <left style="thin">
        <color rgb="FF000000"/>
      </left>
      <right style="double">
        <color rgb="FF000000"/>
      </right>
      <top/>
      <bottom style="double">
        <color rgb="FF000000"/>
      </bottom>
      <diagonal/>
    </border>
    <border>
      <left/>
      <right/>
      <top/>
      <bottom/>
      <diagonal/>
    </border>
    <border>
      <left style="double">
        <color rgb="FF000000"/>
      </left>
      <right/>
      <top style="medium">
        <color rgb="FF000000"/>
      </top>
      <bottom style="thin">
        <color rgb="FF000000"/>
      </bottom>
      <diagonal/>
    </border>
    <border>
      <left/>
      <right style="double">
        <color rgb="FF000000"/>
      </right>
      <top style="medium">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n">
        <color rgb="FF000000"/>
      </right>
      <top style="double">
        <color rgb="FF000000"/>
      </top>
      <bottom/>
      <diagonal/>
    </border>
    <border>
      <left/>
      <right style="double">
        <color rgb="FF000000"/>
      </right>
      <top/>
      <bottom style="double">
        <color rgb="FF000000"/>
      </bottom>
      <diagonal/>
    </border>
    <border>
      <left style="double">
        <color rgb="FF000000"/>
      </left>
      <right/>
      <top style="medium">
        <color rgb="FF000000"/>
      </top>
      <bottom/>
      <diagonal/>
    </border>
    <border>
      <left/>
      <right/>
      <top style="medium">
        <color rgb="FF000000"/>
      </top>
      <bottom/>
      <diagonal/>
    </border>
    <border>
      <left/>
      <right style="medium">
        <color rgb="FF000000"/>
      </right>
      <top style="medium">
        <color rgb="FF000000"/>
      </top>
      <bottom style="medium">
        <color rgb="FF000000"/>
      </bottom>
      <diagonal/>
    </border>
    <border>
      <left style="double">
        <color rgb="FF000000"/>
      </left>
      <right/>
      <top style="double">
        <color rgb="FF000000"/>
      </top>
      <bottom style="medium">
        <color rgb="FF000000"/>
      </bottom>
      <diagonal/>
    </border>
    <border>
      <left/>
      <right style="double">
        <color rgb="FF000000"/>
      </right>
      <top style="double">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diagonal/>
    </border>
    <border>
      <left/>
      <right/>
      <top/>
      <bottom style="double">
        <color rgb="FF000000"/>
      </bottom>
      <diagonal/>
    </border>
    <border>
      <left/>
      <right/>
      <top/>
      <bottom style="double">
        <color rgb="FF000000"/>
      </bottom>
      <diagonal/>
    </border>
    <border>
      <left/>
      <right style="double">
        <color rgb="FF000000"/>
      </right>
      <top style="double">
        <color rgb="FF000000"/>
      </top>
      <bottom style="thin">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n">
        <color rgb="FFC0C0C0"/>
      </right>
      <top style="thick">
        <color rgb="FF000000"/>
      </top>
      <bottom style="medium">
        <color rgb="FF000000"/>
      </bottom>
      <diagonal/>
    </border>
    <border>
      <left style="thin">
        <color rgb="FFC0C0C0"/>
      </left>
      <right style="medium">
        <color rgb="FF000000"/>
      </right>
      <top style="thick">
        <color rgb="FF000000"/>
      </top>
      <bottom style="medium">
        <color rgb="FF000000"/>
      </bottom>
      <diagonal/>
    </border>
    <border>
      <left style="thick">
        <color rgb="FF000000"/>
      </left>
      <right/>
      <top/>
      <bottom/>
      <diagonal/>
    </border>
    <border>
      <left style="thin">
        <color rgb="FFC0C0C0"/>
      </left>
      <right style="medium">
        <color rgb="FF000000"/>
      </right>
      <top/>
      <bottom/>
      <diagonal/>
    </border>
    <border>
      <left style="thick">
        <color rgb="FF000000"/>
      </left>
      <right/>
      <top/>
      <bottom style="medium">
        <color rgb="FF000000"/>
      </bottom>
      <diagonal/>
    </border>
    <border>
      <left/>
      <right style="thin">
        <color rgb="FFC0C0C0"/>
      </right>
      <top/>
      <bottom style="medium">
        <color rgb="FF000000"/>
      </bottom>
      <diagonal/>
    </border>
    <border>
      <left style="thin">
        <color rgb="FFC0C0C0"/>
      </left>
      <right style="medium">
        <color rgb="FF000000"/>
      </right>
      <top/>
      <bottom style="medium">
        <color rgb="FF000000"/>
      </bottom>
      <diagonal/>
    </border>
    <border>
      <left style="thick">
        <color rgb="FF000000"/>
      </left>
      <right/>
      <top/>
      <bottom style="medium">
        <color rgb="FF000000"/>
      </bottom>
      <diagonal/>
    </border>
    <border>
      <left/>
      <right style="thin">
        <color rgb="FFC0C0C0"/>
      </right>
      <top/>
      <bottom style="medium">
        <color rgb="FF000000"/>
      </bottom>
      <diagonal/>
    </border>
    <border>
      <left style="thick">
        <color rgb="FF000000"/>
      </left>
      <right/>
      <top style="medium">
        <color rgb="FF000000"/>
      </top>
      <bottom style="medium">
        <color rgb="FF000000"/>
      </bottom>
      <diagonal/>
    </border>
    <border>
      <left/>
      <right style="thin">
        <color rgb="FFC0C0C0"/>
      </right>
      <top style="medium">
        <color rgb="FF000000"/>
      </top>
      <bottom/>
      <diagonal/>
    </border>
    <border>
      <left/>
      <right style="thin">
        <color rgb="FFC0C0C0"/>
      </right>
      <top style="medium">
        <color rgb="FF000000"/>
      </top>
      <bottom style="medium">
        <color rgb="FF000000"/>
      </bottom>
      <diagonal/>
    </border>
    <border>
      <left style="thin">
        <color rgb="FFC0C0C0"/>
      </left>
      <right style="medium">
        <color rgb="FF000000"/>
      </right>
      <top style="medium">
        <color rgb="FF000000"/>
      </top>
      <bottom style="medium">
        <color rgb="FF000000"/>
      </bottom>
      <diagonal/>
    </border>
    <border>
      <left style="thin">
        <color rgb="FFC0C0C0"/>
      </left>
      <right style="medium">
        <color rgb="FF000000"/>
      </right>
      <top/>
      <bottom style="medium">
        <color rgb="FF000000"/>
      </bottom>
      <diagonal/>
    </border>
    <border>
      <left style="thin">
        <color rgb="FFCCCCCC"/>
      </left>
      <right style="thin">
        <color rgb="FFCCCCCC"/>
      </right>
      <top style="thin">
        <color rgb="FFCCCCCC"/>
      </top>
      <bottom style="thin">
        <color rgb="FFCCCCCC"/>
      </bottom>
      <diagonal/>
    </border>
    <border>
      <left style="thin">
        <color rgb="FF000000"/>
      </left>
      <right style="medium">
        <color rgb="FF000000"/>
      </right>
      <top/>
      <bottom style="medium">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thin">
        <color rgb="FF000000"/>
      </top>
      <bottom style="medium">
        <color indexed="64"/>
      </bottom>
      <diagonal/>
    </border>
    <border>
      <left/>
      <right style="medium">
        <color rgb="FF000000"/>
      </right>
      <top style="thin">
        <color rgb="FF000000"/>
      </top>
      <bottom style="medium">
        <color indexed="64"/>
      </bottom>
      <diagonal/>
    </border>
    <border>
      <left style="medium">
        <color rgb="FF000000"/>
      </left>
      <right style="medium">
        <color indexed="64"/>
      </right>
      <top style="medium">
        <color indexed="64"/>
      </top>
      <bottom style="thin">
        <color rgb="FF000000"/>
      </bottom>
      <diagonal/>
    </border>
    <border>
      <left style="medium">
        <color indexed="64"/>
      </left>
      <right/>
      <top style="medium">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C0C0C0"/>
      </right>
      <top/>
      <bottom style="thin">
        <color rgb="FF000000"/>
      </bottom>
      <diagonal/>
    </border>
    <border>
      <left style="medium">
        <color rgb="FFC0C0C0"/>
      </left>
      <right style="medium">
        <color rgb="FF000000"/>
      </right>
      <top/>
      <bottom style="thin">
        <color rgb="FF000000"/>
      </bottom>
      <diagonal/>
    </border>
    <border>
      <left style="medium">
        <color indexed="64"/>
      </left>
      <right/>
      <top style="thin">
        <color rgb="FF000000"/>
      </top>
      <bottom style="thin">
        <color rgb="FFC0C0C0"/>
      </bottom>
      <diagonal/>
    </border>
    <border>
      <left style="medium">
        <color indexed="64"/>
      </left>
      <right/>
      <top style="thin">
        <color rgb="FFC0C0C0"/>
      </top>
      <bottom style="thin">
        <color rgb="FFC0C0C0"/>
      </bottom>
      <diagonal/>
    </border>
    <border>
      <left style="medium">
        <color indexed="64"/>
      </left>
      <right/>
      <top style="thin">
        <color rgb="FFC0C0C0"/>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s>
  <cellStyleXfs count="1">
    <xf numFmtId="0" fontId="0" fillId="0" borderId="0"/>
  </cellStyleXfs>
  <cellXfs count="1773">
    <xf numFmtId="0" fontId="0" fillId="0" borderId="0" xfId="0"/>
    <xf numFmtId="0" fontId="1" fillId="0" borderId="0" xfId="0" applyFont="1"/>
    <xf numFmtId="0" fontId="2" fillId="0" borderId="0" xfId="0" applyFont="1"/>
    <xf numFmtId="0" fontId="5" fillId="0" borderId="0" xfId="0" applyFont="1"/>
    <xf numFmtId="0" fontId="9" fillId="0" borderId="0" xfId="0" applyFont="1" applyAlignment="1">
      <alignment horizontal="left"/>
    </xf>
    <xf numFmtId="0" fontId="7" fillId="0" borderId="4" xfId="0" applyFont="1" applyBorder="1" applyAlignment="1">
      <alignment horizontal="center"/>
    </xf>
    <xf numFmtId="0" fontId="7" fillId="0" borderId="6" xfId="0" applyFont="1" applyBorder="1" applyAlignment="1">
      <alignment horizontal="right"/>
    </xf>
    <xf numFmtId="164" fontId="1" fillId="0" borderId="0" xfId="0" applyNumberFormat="1" applyFont="1"/>
    <xf numFmtId="164" fontId="5" fillId="0" borderId="0" xfId="0" applyNumberFormat="1" applyFont="1"/>
    <xf numFmtId="0" fontId="5" fillId="0" borderId="20" xfId="0" applyFont="1" applyBorder="1"/>
    <xf numFmtId="164" fontId="5" fillId="0" borderId="20" xfId="0" applyNumberFormat="1" applyFont="1" applyBorder="1"/>
    <xf numFmtId="164" fontId="12" fillId="0" borderId="0" xfId="0" applyNumberFormat="1" applyFont="1"/>
    <xf numFmtId="0" fontId="13" fillId="0" borderId="0" xfId="0" applyFont="1"/>
    <xf numFmtId="0" fontId="4" fillId="0" borderId="0" xfId="0" applyFont="1"/>
    <xf numFmtId="0" fontId="12" fillId="0" borderId="0" xfId="0" applyFont="1"/>
    <xf numFmtId="0" fontId="14" fillId="0" borderId="0" xfId="0" applyFont="1"/>
    <xf numFmtId="0" fontId="12" fillId="0" borderId="20" xfId="0" applyFont="1" applyBorder="1"/>
    <xf numFmtId="0" fontId="15" fillId="0" borderId="0" xfId="0" applyFont="1"/>
    <xf numFmtId="0" fontId="7" fillId="0" borderId="0" xfId="0" applyFont="1"/>
    <xf numFmtId="0" fontId="7" fillId="0" borderId="4" xfId="0" applyFont="1" applyBorder="1"/>
    <xf numFmtId="0" fontId="16" fillId="0" borderId="4" xfId="0" applyFont="1" applyBorder="1" applyAlignment="1">
      <alignment horizontal="center" vertical="center" wrapText="1"/>
    </xf>
    <xf numFmtId="0" fontId="16" fillId="0" borderId="4" xfId="0" applyFont="1" applyBorder="1" applyAlignment="1">
      <alignment horizontal="center"/>
    </xf>
    <xf numFmtId="0" fontId="16" fillId="0" borderId="4" xfId="0" applyFont="1" applyBorder="1" applyAlignment="1">
      <alignment horizontal="center" wrapText="1"/>
    </xf>
    <xf numFmtId="167" fontId="7" fillId="0" borderId="4" xfId="0" applyNumberFormat="1" applyFont="1" applyBorder="1"/>
    <xf numFmtId="168" fontId="7" fillId="0" borderId="4" xfId="0" applyNumberFormat="1" applyFont="1" applyBorder="1"/>
    <xf numFmtId="0" fontId="6" fillId="2" borderId="4" xfId="0" applyFont="1" applyFill="1" applyBorder="1"/>
    <xf numFmtId="0" fontId="9" fillId="2" borderId="4" xfId="0" applyFont="1" applyFill="1" applyBorder="1"/>
    <xf numFmtId="0" fontId="9" fillId="2" borderId="4" xfId="0" applyFont="1" applyFill="1" applyBorder="1" applyAlignment="1">
      <alignment horizontal="right"/>
    </xf>
    <xf numFmtId="167" fontId="7" fillId="0" borderId="4" xfId="0" applyNumberFormat="1" applyFont="1" applyBorder="1" applyAlignment="1">
      <alignment horizontal="right"/>
    </xf>
    <xf numFmtId="3" fontId="9" fillId="2" borderId="4" xfId="0" applyNumberFormat="1" applyFont="1" applyFill="1" applyBorder="1" applyAlignment="1">
      <alignment horizontal="right"/>
    </xf>
    <xf numFmtId="0" fontId="16" fillId="0" borderId="0" xfId="0" applyFont="1"/>
    <xf numFmtId="0" fontId="16" fillId="0" borderId="0" xfId="0" applyFont="1" applyAlignment="1">
      <alignment horizontal="center" wrapText="1"/>
    </xf>
    <xf numFmtId="0" fontId="16" fillId="0" borderId="0" xfId="0" applyFont="1" applyAlignment="1">
      <alignment horizontal="center"/>
    </xf>
    <xf numFmtId="0" fontId="7" fillId="0" borderId="0" xfId="0" applyFont="1" applyAlignment="1">
      <alignment horizontal="center"/>
    </xf>
    <xf numFmtId="0" fontId="7" fillId="0" borderId="14" xfId="0" applyFont="1" applyBorder="1"/>
    <xf numFmtId="0" fontId="6" fillId="0" borderId="14" xfId="0" applyFont="1" applyBorder="1"/>
    <xf numFmtId="0" fontId="7" fillId="0" borderId="4" xfId="0" applyFont="1" applyBorder="1" applyAlignment="1">
      <alignment horizontal="left"/>
    </xf>
    <xf numFmtId="169" fontId="7" fillId="0" borderId="4" xfId="0" applyNumberFormat="1" applyFont="1" applyBorder="1"/>
    <xf numFmtId="0" fontId="16" fillId="0" borderId="21" xfId="0" applyFont="1" applyBorder="1" applyAlignment="1">
      <alignment horizontal="right"/>
    </xf>
    <xf numFmtId="0" fontId="16" fillId="5" borderId="22" xfId="0" applyFont="1" applyFill="1" applyBorder="1" applyAlignment="1">
      <alignment horizontal="right"/>
    </xf>
    <xf numFmtId="43" fontId="7" fillId="0" borderId="4" xfId="0" applyNumberFormat="1" applyFont="1" applyBorder="1"/>
    <xf numFmtId="0" fontId="7" fillId="0" borderId="21" xfId="0" applyFont="1" applyBorder="1" applyAlignment="1">
      <alignment horizontal="right"/>
    </xf>
    <xf numFmtId="170" fontId="7" fillId="0" borderId="22" xfId="0" applyNumberFormat="1" applyFont="1" applyBorder="1" applyAlignment="1">
      <alignment horizontal="right"/>
    </xf>
    <xf numFmtId="0" fontId="12" fillId="0" borderId="21" xfId="0" applyFont="1" applyBorder="1" applyAlignment="1">
      <alignment horizontal="right"/>
    </xf>
    <xf numFmtId="2" fontId="12" fillId="0" borderId="22" xfId="0" applyNumberFormat="1" applyFont="1" applyBorder="1" applyAlignment="1">
      <alignment horizontal="right"/>
    </xf>
    <xf numFmtId="0" fontId="6" fillId="0" borderId="22" xfId="0" applyFont="1" applyBorder="1"/>
    <xf numFmtId="0" fontId="6" fillId="0" borderId="0" xfId="0" applyFont="1"/>
    <xf numFmtId="0" fontId="5" fillId="0" borderId="4" xfId="0" applyFont="1" applyBorder="1"/>
    <xf numFmtId="0" fontId="17" fillId="0" borderId="4" xfId="0" applyFont="1" applyBorder="1" applyAlignment="1">
      <alignment horizontal="center" wrapText="1"/>
    </xf>
    <xf numFmtId="0" fontId="7" fillId="0" borderId="4" xfId="0" quotePrefix="1" applyFont="1" applyBorder="1" applyAlignment="1">
      <alignment horizontal="center"/>
    </xf>
    <xf numFmtId="9" fontId="7" fillId="0" borderId="4" xfId="0" applyNumberFormat="1" applyFont="1" applyBorder="1" applyAlignment="1">
      <alignment horizontal="right"/>
    </xf>
    <xf numFmtId="167" fontId="16" fillId="0" borderId="4" xfId="0" applyNumberFormat="1" applyFont="1" applyBorder="1" applyAlignment="1">
      <alignment horizontal="right"/>
    </xf>
    <xf numFmtId="0" fontId="16" fillId="0" borderId="4" xfId="0" applyFont="1" applyBorder="1" applyAlignment="1">
      <alignment horizontal="center" vertical="center"/>
    </xf>
    <xf numFmtId="0" fontId="7" fillId="0" borderId="4" xfId="0" applyFont="1" applyBorder="1" applyAlignment="1">
      <alignment vertical="center"/>
    </xf>
    <xf numFmtId="167" fontId="9" fillId="0" borderId="4" xfId="0" applyNumberFormat="1" applyFont="1" applyBorder="1" applyAlignment="1">
      <alignment horizontal="right"/>
    </xf>
    <xf numFmtId="0" fontId="18" fillId="0" borderId="4" xfId="0" applyFont="1" applyBorder="1" applyAlignment="1">
      <alignment horizontal="center"/>
    </xf>
    <xf numFmtId="168" fontId="9" fillId="0" borderId="4" xfId="0" applyNumberFormat="1" applyFont="1" applyBorder="1"/>
    <xf numFmtId="0" fontId="12" fillId="0" borderId="4" xfId="0" applyFont="1" applyBorder="1" applyAlignment="1">
      <alignment horizontal="center"/>
    </xf>
    <xf numFmtId="167" fontId="9" fillId="0" borderId="4" xfId="0" applyNumberFormat="1" applyFont="1" applyBorder="1"/>
    <xf numFmtId="0" fontId="19" fillId="0" borderId="0" xfId="0" applyFont="1"/>
    <xf numFmtId="0" fontId="19" fillId="0" borderId="4" xfId="0" applyFont="1" applyBorder="1"/>
    <xf numFmtId="0" fontId="14" fillId="0" borderId="4" xfId="0" applyFont="1" applyBorder="1"/>
    <xf numFmtId="0" fontId="19" fillId="6" borderId="4" xfId="0" applyFont="1" applyFill="1" applyBorder="1"/>
    <xf numFmtId="167" fontId="19" fillId="6" borderId="4" xfId="0" applyNumberFormat="1" applyFont="1" applyFill="1" applyBorder="1"/>
    <xf numFmtId="0" fontId="19" fillId="0" borderId="4" xfId="0" applyFont="1" applyBorder="1" applyAlignment="1">
      <alignment horizontal="left"/>
    </xf>
    <xf numFmtId="167" fontId="19" fillId="0" borderId="4" xfId="0" applyNumberFormat="1" applyFont="1" applyBorder="1"/>
    <xf numFmtId="0" fontId="19" fillId="7" borderId="4" xfId="0" applyFont="1" applyFill="1" applyBorder="1"/>
    <xf numFmtId="167" fontId="19" fillId="7" borderId="4" xfId="0" applyNumberFormat="1" applyFont="1" applyFill="1" applyBorder="1"/>
    <xf numFmtId="0" fontId="19" fillId="8" borderId="4" xfId="0" applyFont="1" applyFill="1" applyBorder="1"/>
    <xf numFmtId="167" fontId="19" fillId="8" borderId="4" xfId="0" applyNumberFormat="1" applyFont="1" applyFill="1" applyBorder="1"/>
    <xf numFmtId="0" fontId="19" fillId="0" borderId="4" xfId="0" applyFont="1" applyBorder="1" applyAlignment="1">
      <alignment horizontal="left" wrapText="1"/>
    </xf>
    <xf numFmtId="0" fontId="14" fillId="4" borderId="4" xfId="0" applyFont="1" applyFill="1" applyBorder="1"/>
    <xf numFmtId="167" fontId="19" fillId="4" borderId="4" xfId="0" applyNumberFormat="1" applyFont="1" applyFill="1" applyBorder="1"/>
    <xf numFmtId="0" fontId="6" fillId="0" borderId="5" xfId="0" applyFont="1" applyBorder="1"/>
    <xf numFmtId="0" fontId="6" fillId="2" borderId="22" xfId="0" applyFont="1" applyFill="1" applyBorder="1"/>
    <xf numFmtId="164" fontId="6" fillId="2" borderId="22" xfId="0" applyNumberFormat="1" applyFont="1" applyFill="1" applyBorder="1"/>
    <xf numFmtId="1" fontId="6" fillId="2" borderId="22" xfId="0" applyNumberFormat="1" applyFont="1" applyFill="1" applyBorder="1"/>
    <xf numFmtId="0" fontId="10" fillId="10" borderId="0" xfId="0" applyFont="1" applyFill="1"/>
    <xf numFmtId="0" fontId="6" fillId="10" borderId="0" xfId="0" applyFont="1" applyFill="1"/>
    <xf numFmtId="0" fontId="20" fillId="0" borderId="0" xfId="0" applyFont="1"/>
    <xf numFmtId="0" fontId="16" fillId="11" borderId="22" xfId="0" applyFont="1" applyFill="1" applyBorder="1" applyAlignment="1">
      <alignment horizontal="center" wrapText="1"/>
    </xf>
    <xf numFmtId="0" fontId="7" fillId="0" borderId="22" xfId="0" applyFont="1" applyBorder="1" applyAlignment="1">
      <alignment horizontal="center" wrapText="1"/>
    </xf>
    <xf numFmtId="0" fontId="6" fillId="2" borderId="0" xfId="0" applyFont="1" applyFill="1"/>
    <xf numFmtId="0" fontId="16" fillId="0" borderId="22" xfId="0" applyFont="1" applyBorder="1"/>
    <xf numFmtId="0" fontId="16" fillId="0" borderId="14" xfId="0" applyFont="1" applyBorder="1"/>
    <xf numFmtId="0" fontId="16" fillId="12" borderId="4" xfId="0" applyFont="1" applyFill="1" applyBorder="1" applyAlignment="1">
      <alignment horizontal="center"/>
    </xf>
    <xf numFmtId="0" fontId="7" fillId="0" borderId="22" xfId="0" applyFont="1" applyBorder="1"/>
    <xf numFmtId="0" fontId="16" fillId="13" borderId="22" xfId="0" applyFont="1" applyFill="1" applyBorder="1" applyAlignment="1">
      <alignment horizontal="center"/>
    </xf>
    <xf numFmtId="170" fontId="7" fillId="0" borderId="22" xfId="0" applyNumberFormat="1" applyFont="1" applyBorder="1" applyAlignment="1">
      <alignment horizontal="center"/>
    </xf>
    <xf numFmtId="0" fontId="20" fillId="0" borderId="14" xfId="0" applyFont="1" applyBorder="1"/>
    <xf numFmtId="0" fontId="17" fillId="14" borderId="22" xfId="0" applyFont="1" applyFill="1" applyBorder="1"/>
    <xf numFmtId="0" fontId="16" fillId="15" borderId="4" xfId="0" applyFont="1" applyFill="1" applyBorder="1" applyAlignment="1">
      <alignment horizontal="center"/>
    </xf>
    <xf numFmtId="0" fontId="16" fillId="2" borderId="22" xfId="0" applyFont="1" applyFill="1" applyBorder="1"/>
    <xf numFmtId="171" fontId="22" fillId="2" borderId="4" xfId="0" applyNumberFormat="1" applyFont="1" applyFill="1" applyBorder="1" applyAlignment="1">
      <alignment horizontal="right"/>
    </xf>
    <xf numFmtId="0" fontId="23" fillId="0" borderId="22" xfId="0" applyFont="1" applyBorder="1"/>
    <xf numFmtId="171" fontId="24" fillId="0" borderId="4" xfId="0" applyNumberFormat="1" applyFont="1" applyBorder="1" applyAlignment="1">
      <alignment horizontal="right"/>
    </xf>
    <xf numFmtId="0" fontId="25" fillId="0" borderId="14" xfId="0" applyFont="1" applyBorder="1"/>
    <xf numFmtId="0" fontId="25" fillId="0" borderId="0" xfId="0" applyFont="1"/>
    <xf numFmtId="0" fontId="26" fillId="12" borderId="4" xfId="0" applyFont="1" applyFill="1" applyBorder="1" applyAlignment="1">
      <alignment horizontal="right"/>
    </xf>
    <xf numFmtId="0" fontId="26" fillId="0" borderId="22" xfId="0" applyFont="1" applyBorder="1"/>
    <xf numFmtId="0" fontId="27" fillId="2" borderId="4" xfId="0" applyFont="1" applyFill="1" applyBorder="1" applyAlignment="1">
      <alignment horizontal="right"/>
    </xf>
    <xf numFmtId="3" fontId="7" fillId="0" borderId="22" xfId="0" applyNumberFormat="1" applyFont="1" applyBorder="1" applyAlignment="1">
      <alignment horizontal="center" wrapText="1"/>
    </xf>
    <xf numFmtId="9" fontId="7" fillId="0" borderId="22" xfId="0" applyNumberFormat="1" applyFont="1" applyBorder="1" applyAlignment="1">
      <alignment horizontal="center" wrapText="1"/>
    </xf>
    <xf numFmtId="172" fontId="7" fillId="0" borderId="22" xfId="0" applyNumberFormat="1" applyFont="1" applyBorder="1" applyAlignment="1">
      <alignment horizontal="center" wrapText="1"/>
    </xf>
    <xf numFmtId="0" fontId="25" fillId="6" borderId="4" xfId="0" applyFont="1" applyFill="1" applyBorder="1" applyAlignment="1">
      <alignment horizontal="center" wrapText="1"/>
    </xf>
    <xf numFmtId="0" fontId="25" fillId="13" borderId="4" xfId="0" applyFont="1" applyFill="1" applyBorder="1" applyAlignment="1">
      <alignment horizontal="center"/>
    </xf>
    <xf numFmtId="0" fontId="25" fillId="0" borderId="22" xfId="0" applyFont="1" applyBorder="1" applyAlignment="1">
      <alignment horizontal="center"/>
    </xf>
    <xf numFmtId="0" fontId="6" fillId="0" borderId="4" xfId="0" applyFont="1" applyBorder="1" applyAlignment="1">
      <alignment horizontal="center"/>
    </xf>
    <xf numFmtId="0" fontId="25" fillId="0" borderId="22" xfId="0" applyFont="1" applyBorder="1" applyAlignment="1">
      <alignment horizontal="center" wrapText="1"/>
    </xf>
    <xf numFmtId="3" fontId="6" fillId="0" borderId="4" xfId="0" applyNumberFormat="1" applyFont="1" applyBorder="1" applyAlignment="1">
      <alignment horizontal="center"/>
    </xf>
    <xf numFmtId="9" fontId="6" fillId="0" borderId="4" xfId="0" applyNumberFormat="1" applyFont="1" applyBorder="1" applyAlignment="1">
      <alignment horizontal="center"/>
    </xf>
    <xf numFmtId="173" fontId="25" fillId="0" borderId="4" xfId="0" applyNumberFormat="1" applyFont="1" applyBorder="1" applyAlignment="1">
      <alignment horizontal="center"/>
    </xf>
    <xf numFmtId="3" fontId="6" fillId="2" borderId="4" xfId="0" applyNumberFormat="1" applyFont="1" applyFill="1" applyBorder="1"/>
    <xf numFmtId="174" fontId="25" fillId="0" borderId="4" xfId="0" applyNumberFormat="1" applyFont="1" applyBorder="1" applyAlignment="1">
      <alignment horizontal="center"/>
    </xf>
    <xf numFmtId="174" fontId="6" fillId="0" borderId="4" xfId="0" applyNumberFormat="1" applyFont="1" applyBorder="1" applyAlignment="1">
      <alignment horizontal="center"/>
    </xf>
    <xf numFmtId="173" fontId="25" fillId="2" borderId="4" xfId="0" applyNumberFormat="1" applyFont="1" applyFill="1" applyBorder="1" applyAlignment="1">
      <alignment horizontal="center"/>
    </xf>
    <xf numFmtId="173" fontId="6" fillId="0" borderId="4" xfId="0" applyNumberFormat="1" applyFont="1" applyBorder="1" applyAlignment="1">
      <alignment horizontal="center"/>
    </xf>
    <xf numFmtId="0" fontId="26" fillId="15" borderId="4" xfId="0" applyFont="1" applyFill="1" applyBorder="1" applyAlignment="1">
      <alignment horizontal="center"/>
    </xf>
    <xf numFmtId="0" fontId="26" fillId="0" borderId="22" xfId="0" applyFont="1" applyBorder="1" applyAlignment="1">
      <alignment horizontal="center"/>
    </xf>
    <xf numFmtId="0" fontId="26" fillId="2" borderId="4" xfId="0" applyFont="1" applyFill="1" applyBorder="1" applyAlignment="1">
      <alignment horizontal="center"/>
    </xf>
    <xf numFmtId="0" fontId="16" fillId="16" borderId="4" xfId="0" applyFont="1" applyFill="1" applyBorder="1" applyAlignment="1">
      <alignment horizontal="center"/>
    </xf>
    <xf numFmtId="0" fontId="16" fillId="17" borderId="22" xfId="0" applyFont="1" applyFill="1" applyBorder="1"/>
    <xf numFmtId="0" fontId="16" fillId="13" borderId="4" xfId="0" applyFont="1" applyFill="1" applyBorder="1" applyAlignment="1">
      <alignment horizontal="center"/>
    </xf>
    <xf numFmtId="3" fontId="7" fillId="0" borderId="4" xfId="0" applyNumberFormat="1" applyFont="1" applyBorder="1" applyAlignment="1">
      <alignment horizontal="right"/>
    </xf>
    <xf numFmtId="0" fontId="16" fillId="16" borderId="4" xfId="0" applyFont="1" applyFill="1" applyBorder="1" applyAlignment="1">
      <alignment horizontal="center" wrapText="1"/>
    </xf>
    <xf numFmtId="0" fontId="16" fillId="0" borderId="22" xfId="0" applyFont="1" applyBorder="1" applyAlignment="1">
      <alignment horizontal="center"/>
    </xf>
    <xf numFmtId="4" fontId="7" fillId="0" borderId="22" xfId="0" applyNumberFormat="1" applyFont="1" applyBorder="1" applyAlignment="1">
      <alignment horizontal="right"/>
    </xf>
    <xf numFmtId="0" fontId="7" fillId="0" borderId="6" xfId="0" applyFont="1" applyBorder="1"/>
    <xf numFmtId="4" fontId="7" fillId="0" borderId="6" xfId="0" applyNumberFormat="1" applyFont="1" applyBorder="1" applyAlignment="1">
      <alignment horizontal="right"/>
    </xf>
    <xf numFmtId="3" fontId="7" fillId="0" borderId="23" xfId="0" applyNumberFormat="1" applyFont="1" applyBorder="1" applyAlignment="1">
      <alignment horizontal="right"/>
    </xf>
    <xf numFmtId="3" fontId="7" fillId="0" borderId="24" xfId="0" applyNumberFormat="1" applyFont="1" applyBorder="1" applyAlignment="1">
      <alignment horizontal="right"/>
    </xf>
    <xf numFmtId="0" fontId="16" fillId="0" borderId="14" xfId="0" applyFont="1" applyBorder="1" applyAlignment="1">
      <alignment horizontal="center"/>
    </xf>
    <xf numFmtId="172" fontId="7" fillId="0" borderId="14" xfId="0" applyNumberFormat="1" applyFont="1" applyBorder="1" applyAlignment="1">
      <alignment horizontal="right"/>
    </xf>
    <xf numFmtId="172" fontId="7" fillId="0" borderId="20" xfId="0" applyNumberFormat="1" applyFont="1" applyBorder="1" applyAlignment="1">
      <alignment horizontal="right"/>
    </xf>
    <xf numFmtId="0" fontId="7" fillId="17" borderId="22" xfId="0" applyFont="1" applyFill="1" applyBorder="1"/>
    <xf numFmtId="0" fontId="16" fillId="0" borderId="22" xfId="0" applyFont="1" applyBorder="1" applyAlignment="1">
      <alignment wrapText="1"/>
    </xf>
    <xf numFmtId="3" fontId="16" fillId="0" borderId="4" xfId="0" applyNumberFormat="1" applyFont="1" applyBorder="1" applyAlignment="1">
      <alignment horizontal="right" wrapText="1"/>
    </xf>
    <xf numFmtId="3" fontId="7" fillId="0" borderId="4" xfId="0" applyNumberFormat="1" applyFont="1" applyBorder="1" applyAlignment="1">
      <alignment horizontal="right" wrapText="1"/>
    </xf>
    <xf numFmtId="175" fontId="16" fillId="0" borderId="4" xfId="0" applyNumberFormat="1" applyFont="1" applyBorder="1" applyAlignment="1">
      <alignment horizontal="right" wrapText="1"/>
    </xf>
    <xf numFmtId="175" fontId="7" fillId="0" borderId="4" xfId="0" applyNumberFormat="1" applyFont="1" applyBorder="1" applyAlignment="1">
      <alignment horizontal="right" wrapText="1"/>
    </xf>
    <xf numFmtId="0" fontId="6" fillId="0" borderId="6" xfId="0" applyFont="1" applyBorder="1"/>
    <xf numFmtId="0" fontId="6" fillId="0" borderId="20" xfId="0" applyFont="1" applyBorder="1"/>
    <xf numFmtId="0" fontId="6" fillId="0" borderId="9" xfId="0" applyFont="1" applyBorder="1"/>
    <xf numFmtId="0" fontId="16" fillId="20" borderId="9" xfId="0" applyFont="1" applyFill="1" applyBorder="1" applyAlignment="1">
      <alignment horizontal="center"/>
    </xf>
    <xf numFmtId="0" fontId="16" fillId="21" borderId="9" xfId="0" applyFont="1" applyFill="1" applyBorder="1" applyAlignment="1">
      <alignment horizontal="center" wrapText="1"/>
    </xf>
    <xf numFmtId="0" fontId="16" fillId="0" borderId="9" xfId="0" applyFont="1" applyBorder="1"/>
    <xf numFmtId="0" fontId="16" fillId="0" borderId="9" xfId="0" applyFont="1" applyBorder="1" applyAlignment="1">
      <alignment horizontal="center"/>
    </xf>
    <xf numFmtId="0" fontId="16" fillId="12" borderId="9" xfId="0" applyFont="1" applyFill="1" applyBorder="1" applyAlignment="1">
      <alignment horizontal="center"/>
    </xf>
    <xf numFmtId="0" fontId="7" fillId="0" borderId="9" xfId="0" applyFont="1" applyBorder="1" applyAlignment="1">
      <alignment horizontal="right"/>
    </xf>
    <xf numFmtId="0" fontId="7" fillId="0" borderId="22" xfId="0" applyFont="1" applyBorder="1" applyAlignment="1">
      <alignment horizontal="right"/>
    </xf>
    <xf numFmtId="2" fontId="6" fillId="0" borderId="9" xfId="0" applyNumberFormat="1" applyFont="1" applyBorder="1"/>
    <xf numFmtId="3" fontId="7" fillId="0" borderId="9" xfId="0" applyNumberFormat="1" applyFont="1" applyBorder="1" applyAlignment="1">
      <alignment horizontal="right"/>
    </xf>
    <xf numFmtId="3" fontId="6" fillId="0" borderId="0" xfId="0" applyNumberFormat="1" applyFont="1"/>
    <xf numFmtId="2" fontId="6" fillId="0" borderId="9" xfId="0" applyNumberFormat="1" applyFont="1" applyBorder="1" applyAlignment="1">
      <alignment horizontal="right"/>
    </xf>
    <xf numFmtId="9" fontId="7" fillId="0" borderId="22" xfId="0" applyNumberFormat="1" applyFont="1" applyBorder="1" applyAlignment="1">
      <alignment horizontal="right"/>
    </xf>
    <xf numFmtId="2" fontId="6" fillId="0" borderId="25" xfId="0" applyNumberFormat="1" applyFont="1" applyBorder="1"/>
    <xf numFmtId="3" fontId="7" fillId="0" borderId="25" xfId="0" applyNumberFormat="1" applyFont="1" applyBorder="1" applyAlignment="1">
      <alignment horizontal="right"/>
    </xf>
    <xf numFmtId="0" fontId="16" fillId="22" borderId="9" xfId="0" applyFont="1" applyFill="1" applyBorder="1" applyAlignment="1">
      <alignment horizontal="center" wrapText="1"/>
    </xf>
    <xf numFmtId="0" fontId="16" fillId="5" borderId="9" xfId="0" applyFont="1" applyFill="1" applyBorder="1" applyAlignment="1">
      <alignment horizontal="center"/>
    </xf>
    <xf numFmtId="0" fontId="16" fillId="12" borderId="22" xfId="0" applyFont="1" applyFill="1" applyBorder="1" applyAlignment="1">
      <alignment horizontal="center"/>
    </xf>
    <xf numFmtId="176" fontId="16" fillId="0" borderId="22" xfId="0" applyNumberFormat="1" applyFont="1" applyBorder="1" applyAlignment="1">
      <alignment horizontal="center"/>
    </xf>
    <xf numFmtId="49" fontId="7" fillId="0" borderId="22" xfId="0" applyNumberFormat="1" applyFont="1" applyBorder="1"/>
    <xf numFmtId="176" fontId="7" fillId="0" borderId="22" xfId="0" applyNumberFormat="1" applyFont="1" applyBorder="1" applyAlignment="1">
      <alignment horizontal="center"/>
    </xf>
    <xf numFmtId="0" fontId="10" fillId="23" borderId="22" xfId="0" applyFont="1" applyFill="1" applyBorder="1" applyAlignment="1">
      <alignment horizontal="center"/>
    </xf>
    <xf numFmtId="0" fontId="10" fillId="15" borderId="22" xfId="0" applyFont="1" applyFill="1" applyBorder="1"/>
    <xf numFmtId="173" fontId="10" fillId="15" borderId="22" xfId="0" applyNumberFormat="1" applyFont="1" applyFill="1" applyBorder="1" applyAlignment="1">
      <alignment horizontal="center"/>
    </xf>
    <xf numFmtId="0" fontId="10" fillId="0" borderId="22" xfId="0" applyFont="1" applyBorder="1"/>
    <xf numFmtId="173" fontId="10" fillId="0" borderId="22" xfId="0" applyNumberFormat="1" applyFont="1" applyBorder="1" applyAlignment="1">
      <alignment horizontal="center"/>
    </xf>
    <xf numFmtId="49" fontId="5" fillId="0" borderId="22" xfId="0" applyNumberFormat="1" applyFont="1" applyBorder="1"/>
    <xf numFmtId="173" fontId="5" fillId="0" borderId="22" xfId="0" applyNumberFormat="1" applyFont="1" applyBorder="1" applyAlignment="1">
      <alignment horizontal="center"/>
    </xf>
    <xf numFmtId="49" fontId="6" fillId="0" borderId="0" xfId="0" applyNumberFormat="1" applyFont="1"/>
    <xf numFmtId="0" fontId="15" fillId="0" borderId="0" xfId="0" applyFont="1" applyAlignment="1">
      <alignment vertical="top"/>
    </xf>
    <xf numFmtId="0" fontId="30" fillId="0" borderId="0" xfId="0" applyFont="1"/>
    <xf numFmtId="0" fontId="31" fillId="0" borderId="0" xfId="0" applyFont="1"/>
    <xf numFmtId="0" fontId="12" fillId="0" borderId="26" xfId="0" applyFont="1" applyBorder="1"/>
    <xf numFmtId="0" fontId="12" fillId="0" borderId="27" xfId="0" applyFont="1" applyBorder="1"/>
    <xf numFmtId="0" fontId="12" fillId="0" borderId="28" xfId="0" applyFont="1" applyBorder="1"/>
    <xf numFmtId="0" fontId="32" fillId="0" borderId="28" xfId="0" applyFont="1" applyBorder="1"/>
    <xf numFmtId="0" fontId="12" fillId="0" borderId="29" xfId="0" applyFont="1" applyBorder="1"/>
    <xf numFmtId="0" fontId="12" fillId="0" borderId="30" xfId="0" applyFont="1" applyBorder="1"/>
    <xf numFmtId="0" fontId="32" fillId="0" borderId="30" xfId="0" applyFont="1" applyBorder="1"/>
    <xf numFmtId="0" fontId="12" fillId="0" borderId="31" xfId="0" applyFont="1" applyBorder="1"/>
    <xf numFmtId="0" fontId="12" fillId="0" borderId="32" xfId="0" applyFont="1" applyBorder="1"/>
    <xf numFmtId="0" fontId="12" fillId="0" borderId="0" xfId="0" applyFont="1" applyAlignment="1">
      <alignment horizontal="center"/>
    </xf>
    <xf numFmtId="169" fontId="12" fillId="0" borderId="0" xfId="0" applyNumberFormat="1" applyFont="1"/>
    <xf numFmtId="169" fontId="31" fillId="0" borderId="0" xfId="0" applyNumberFormat="1" applyFont="1"/>
    <xf numFmtId="0" fontId="33" fillId="0" borderId="33" xfId="0" applyFont="1" applyBorder="1"/>
    <xf numFmtId="0" fontId="33" fillId="0" borderId="0" xfId="0" applyFont="1"/>
    <xf numFmtId="0" fontId="31" fillId="0" borderId="0" xfId="0" applyFont="1" applyAlignment="1">
      <alignment horizontal="center"/>
    </xf>
    <xf numFmtId="0" fontId="12" fillId="0" borderId="33" xfId="0" applyFont="1" applyBorder="1" applyAlignment="1">
      <alignment horizontal="center"/>
    </xf>
    <xf numFmtId="0" fontId="33" fillId="0" borderId="0" xfId="0" applyFont="1" applyAlignment="1">
      <alignment horizontal="center"/>
    </xf>
    <xf numFmtId="0" fontId="12" fillId="0" borderId="34" xfId="0" applyFont="1" applyBorder="1"/>
    <xf numFmtId="0" fontId="12" fillId="0" borderId="20" xfId="0" applyFont="1" applyBorder="1" applyAlignment="1">
      <alignment horizontal="center"/>
    </xf>
    <xf numFmtId="0" fontId="31" fillId="0" borderId="20" xfId="0" applyFont="1" applyBorder="1" applyAlignment="1">
      <alignment horizontal="center"/>
    </xf>
    <xf numFmtId="0" fontId="31" fillId="0" borderId="35" xfId="0" applyFont="1" applyBorder="1"/>
    <xf numFmtId="0" fontId="31" fillId="0" borderId="33" xfId="0" applyFont="1" applyBorder="1"/>
    <xf numFmtId="167" fontId="12" fillId="0" borderId="0" xfId="0" applyNumberFormat="1" applyFont="1"/>
    <xf numFmtId="0" fontId="12" fillId="0" borderId="33" xfId="0" applyFont="1" applyBorder="1"/>
    <xf numFmtId="0" fontId="12" fillId="14" borderId="36" xfId="0" applyFont="1" applyFill="1" applyBorder="1"/>
    <xf numFmtId="167" fontId="34" fillId="0" borderId="0" xfId="0" applyNumberFormat="1" applyFont="1"/>
    <xf numFmtId="167" fontId="34" fillId="0" borderId="33" xfId="0" applyNumberFormat="1" applyFont="1" applyBorder="1"/>
    <xf numFmtId="43" fontId="12" fillId="0" borderId="0" xfId="0" applyNumberFormat="1" applyFont="1"/>
    <xf numFmtId="167" fontId="35" fillId="0" borderId="0" xfId="0" applyNumberFormat="1" applyFont="1"/>
    <xf numFmtId="167" fontId="35" fillId="0" borderId="33" xfId="0" applyNumberFormat="1" applyFont="1" applyBorder="1"/>
    <xf numFmtId="0" fontId="35" fillId="0" borderId="32" xfId="0" applyFont="1" applyBorder="1"/>
    <xf numFmtId="0" fontId="12" fillId="14" borderId="36" xfId="0" applyFont="1" applyFill="1" applyBorder="1" applyAlignment="1">
      <alignment horizontal="center"/>
    </xf>
    <xf numFmtId="167" fontId="31" fillId="0" borderId="0" xfId="0" applyNumberFormat="1" applyFont="1"/>
    <xf numFmtId="167" fontId="31" fillId="0" borderId="33" xfId="0" applyNumberFormat="1" applyFont="1" applyBorder="1"/>
    <xf numFmtId="167" fontId="33" fillId="0" borderId="0" xfId="0" applyNumberFormat="1" applyFont="1"/>
    <xf numFmtId="167" fontId="33" fillId="0" borderId="33" xfId="0" applyNumberFormat="1" applyFont="1" applyBorder="1"/>
    <xf numFmtId="167" fontId="12" fillId="0" borderId="33" xfId="0" applyNumberFormat="1" applyFont="1" applyBorder="1"/>
    <xf numFmtId="0" fontId="36" fillId="0" borderId="0" xfId="0" applyFont="1"/>
    <xf numFmtId="0" fontId="37" fillId="0" borderId="0" xfId="0" applyFont="1"/>
    <xf numFmtId="167" fontId="37" fillId="0" borderId="0" xfId="0" applyNumberFormat="1" applyFont="1"/>
    <xf numFmtId="167" fontId="37" fillId="0" borderId="33" xfId="0" applyNumberFormat="1" applyFont="1" applyBorder="1"/>
    <xf numFmtId="167" fontId="38" fillId="0" borderId="0" xfId="0" applyNumberFormat="1" applyFont="1"/>
    <xf numFmtId="167" fontId="38" fillId="0" borderId="33" xfId="0" applyNumberFormat="1" applyFont="1" applyBorder="1"/>
    <xf numFmtId="0" fontId="12" fillId="0" borderId="37" xfId="0" applyFont="1" applyBorder="1"/>
    <xf numFmtId="0" fontId="12" fillId="0" borderId="38" xfId="0" applyFont="1" applyBorder="1"/>
    <xf numFmtId="0" fontId="12" fillId="0" borderId="39" xfId="0" applyFont="1" applyBorder="1"/>
    <xf numFmtId="0" fontId="33" fillId="0" borderId="28" xfId="0" applyFont="1" applyBorder="1"/>
    <xf numFmtId="0" fontId="32" fillId="0" borderId="0" xfId="0" applyFont="1"/>
    <xf numFmtId="169" fontId="33" fillId="0" borderId="0" xfId="0" applyNumberFormat="1" applyFont="1"/>
    <xf numFmtId="169" fontId="34" fillId="0" borderId="0" xfId="0" applyNumberFormat="1" applyFont="1"/>
    <xf numFmtId="0" fontId="34" fillId="0" borderId="0" xfId="0" applyFont="1" applyAlignment="1">
      <alignment horizontal="center"/>
    </xf>
    <xf numFmtId="0" fontId="33" fillId="0" borderId="33" xfId="0" applyFont="1" applyBorder="1" applyAlignment="1">
      <alignment horizontal="center"/>
    </xf>
    <xf numFmtId="0" fontId="34" fillId="0" borderId="33" xfId="0" applyFont="1" applyBorder="1"/>
    <xf numFmtId="3" fontId="12" fillId="0" borderId="0" xfId="0" applyNumberFormat="1" applyFont="1"/>
    <xf numFmtId="3" fontId="12" fillId="0" borderId="33" xfId="0" applyNumberFormat="1" applyFont="1" applyBorder="1"/>
    <xf numFmtId="2" fontId="12" fillId="0" borderId="33" xfId="0" applyNumberFormat="1" applyFont="1" applyBorder="1"/>
    <xf numFmtId="167" fontId="39" fillId="0" borderId="33" xfId="0" applyNumberFormat="1" applyFont="1" applyBorder="1"/>
    <xf numFmtId="39" fontId="33" fillId="0" borderId="0" xfId="0" applyNumberFormat="1" applyFont="1"/>
    <xf numFmtId="0" fontId="35" fillId="0" borderId="0" xfId="0" applyFont="1"/>
    <xf numFmtId="0" fontId="35" fillId="0" borderId="33" xfId="0" applyFont="1" applyBorder="1"/>
    <xf numFmtId="38" fontId="12" fillId="0" borderId="0" xfId="0" applyNumberFormat="1" applyFont="1"/>
    <xf numFmtId="0" fontId="33" fillId="0" borderId="32" xfId="0" applyFont="1" applyBorder="1"/>
    <xf numFmtId="38" fontId="33" fillId="0" borderId="0" xfId="0" applyNumberFormat="1" applyFont="1"/>
    <xf numFmtId="43" fontId="31" fillId="0" borderId="0" xfId="0" applyNumberFormat="1" applyFont="1"/>
    <xf numFmtId="43" fontId="31" fillId="0" borderId="33" xfId="0" applyNumberFormat="1" applyFont="1" applyBorder="1"/>
    <xf numFmtId="0" fontId="33" fillId="0" borderId="38" xfId="0" applyFont="1" applyBorder="1"/>
    <xf numFmtId="167" fontId="34" fillId="0" borderId="39" xfId="0" applyNumberFormat="1" applyFont="1" applyBorder="1"/>
    <xf numFmtId="167" fontId="41" fillId="0" borderId="0" xfId="0" applyNumberFormat="1" applyFont="1"/>
    <xf numFmtId="0" fontId="31" fillId="0" borderId="28" xfId="0" applyFont="1" applyBorder="1"/>
    <xf numFmtId="0" fontId="31" fillId="0" borderId="33" xfId="0" applyFont="1" applyBorder="1" applyAlignment="1">
      <alignment horizontal="center"/>
    </xf>
    <xf numFmtId="1" fontId="12" fillId="0" borderId="0" xfId="0" applyNumberFormat="1" applyFont="1"/>
    <xf numFmtId="177" fontId="12" fillId="0" borderId="0" xfId="0" applyNumberFormat="1" applyFont="1"/>
    <xf numFmtId="0" fontId="33" fillId="7" borderId="36" xfId="0" applyFont="1" applyFill="1" applyBorder="1"/>
    <xf numFmtId="0" fontId="35" fillId="7" borderId="36" xfId="0" applyFont="1" applyFill="1" applyBorder="1"/>
    <xf numFmtId="167" fontId="33" fillId="7" borderId="36" xfId="0" applyNumberFormat="1" applyFont="1" applyFill="1" applyBorder="1"/>
    <xf numFmtId="167" fontId="33" fillId="7" borderId="40" xfId="0" applyNumberFormat="1" applyFont="1" applyFill="1" applyBorder="1"/>
    <xf numFmtId="0" fontId="33" fillId="0" borderId="41" xfId="0" applyFont="1" applyBorder="1"/>
    <xf numFmtId="0" fontId="33" fillId="0" borderId="42" xfId="0" applyFont="1" applyBorder="1"/>
    <xf numFmtId="0" fontId="33" fillId="0" borderId="43" xfId="0" applyFont="1" applyBorder="1"/>
    <xf numFmtId="0" fontId="33" fillId="0" borderId="44" xfId="0" applyFont="1" applyBorder="1"/>
    <xf numFmtId="0" fontId="33" fillId="0" borderId="19" xfId="0" applyFont="1" applyBorder="1"/>
    <xf numFmtId="0" fontId="33" fillId="0" borderId="45" xfId="0" applyFont="1" applyBorder="1"/>
    <xf numFmtId="0" fontId="33" fillId="0" borderId="29" xfId="0" applyFont="1" applyBorder="1"/>
    <xf numFmtId="0" fontId="33" fillId="0" borderId="30" xfId="0" applyFont="1" applyBorder="1"/>
    <xf numFmtId="0" fontId="33" fillId="0" borderId="31" xfId="0" applyFont="1" applyBorder="1"/>
    <xf numFmtId="0" fontId="35" fillId="0" borderId="46" xfId="0" applyFont="1" applyBorder="1"/>
    <xf numFmtId="167" fontId="35" fillId="0" borderId="21" xfId="0" applyNumberFormat="1" applyFont="1" applyBorder="1"/>
    <xf numFmtId="2" fontId="35" fillId="0" borderId="21" xfId="0" applyNumberFormat="1" applyFont="1" applyBorder="1"/>
    <xf numFmtId="2" fontId="35" fillId="0" borderId="47" xfId="0" applyNumberFormat="1" applyFont="1" applyBorder="1"/>
    <xf numFmtId="0" fontId="35" fillId="0" borderId="48" xfId="0" applyFont="1" applyBorder="1"/>
    <xf numFmtId="0" fontId="35" fillId="0" borderId="4" xfId="0" applyFont="1" applyBorder="1"/>
    <xf numFmtId="167" fontId="35" fillId="0" borderId="4" xfId="0" applyNumberFormat="1" applyFont="1" applyBorder="1"/>
    <xf numFmtId="2" fontId="35" fillId="0" borderId="4" xfId="0" applyNumberFormat="1" applyFont="1" applyBorder="1"/>
    <xf numFmtId="2" fontId="35" fillId="0" borderId="49" xfId="0" applyNumberFormat="1" applyFont="1" applyBorder="1"/>
    <xf numFmtId="0" fontId="12" fillId="0" borderId="48" xfId="0" applyFont="1" applyBorder="1"/>
    <xf numFmtId="0" fontId="33" fillId="0" borderId="4" xfId="0" applyFont="1" applyBorder="1"/>
    <xf numFmtId="167" fontId="33" fillId="0" borderId="4" xfId="0" applyNumberFormat="1" applyFont="1" applyBorder="1"/>
    <xf numFmtId="2" fontId="33" fillId="0" borderId="4" xfId="0" applyNumberFormat="1" applyFont="1" applyBorder="1"/>
    <xf numFmtId="2" fontId="33" fillId="0" borderId="49" xfId="0" applyNumberFormat="1" applyFont="1" applyBorder="1"/>
    <xf numFmtId="0" fontId="33" fillId="0" borderId="48" xfId="0" applyFont="1" applyBorder="1"/>
    <xf numFmtId="0" fontId="12" fillId="0" borderId="4" xfId="0" applyFont="1" applyBorder="1"/>
    <xf numFmtId="0" fontId="12" fillId="0" borderId="50" xfId="0" applyFont="1" applyBorder="1"/>
    <xf numFmtId="0" fontId="12" fillId="0" borderId="51" xfId="0" applyFont="1" applyBorder="1"/>
    <xf numFmtId="0" fontId="12" fillId="0" borderId="52" xfId="0" applyFont="1" applyBorder="1"/>
    <xf numFmtId="0" fontId="42" fillId="0" borderId="0" xfId="0" applyFont="1"/>
    <xf numFmtId="0" fontId="43" fillId="0" borderId="0" xfId="0" applyFont="1"/>
    <xf numFmtId="0" fontId="37" fillId="0" borderId="53" xfId="0" applyFont="1" applyBorder="1"/>
    <xf numFmtId="0" fontId="44" fillId="0" borderId="54" xfId="0" applyFont="1" applyBorder="1" applyAlignment="1">
      <alignment horizontal="center"/>
    </xf>
    <xf numFmtId="0" fontId="45" fillId="0" borderId="54" xfId="0" applyFont="1" applyBorder="1" applyAlignment="1">
      <alignment horizontal="center"/>
    </xf>
    <xf numFmtId="0" fontId="45" fillId="0" borderId="55" xfId="0" applyFont="1" applyBorder="1" applyAlignment="1">
      <alignment horizontal="center"/>
    </xf>
    <xf numFmtId="0" fontId="44" fillId="0" borderId="46" xfId="0" applyFont="1" applyBorder="1"/>
    <xf numFmtId="0" fontId="44" fillId="0" borderId="21" xfId="0" applyFont="1" applyBorder="1" applyAlignment="1">
      <alignment horizontal="center"/>
    </xf>
    <xf numFmtId="0" fontId="45" fillId="0" borderId="21" xfId="0" applyFont="1" applyBorder="1" applyAlignment="1">
      <alignment horizontal="center"/>
    </xf>
    <xf numFmtId="0" fontId="45" fillId="0" borderId="47" xfId="0" applyFont="1" applyBorder="1" applyAlignment="1">
      <alignment horizontal="center"/>
    </xf>
    <xf numFmtId="0" fontId="46" fillId="0" borderId="48" xfId="0" applyFont="1" applyBorder="1"/>
    <xf numFmtId="167" fontId="37" fillId="0" borderId="4" xfId="0" applyNumberFormat="1" applyFont="1" applyBorder="1"/>
    <xf numFmtId="176" fontId="37" fillId="0" borderId="4" xfId="0" applyNumberFormat="1" applyFont="1" applyBorder="1"/>
    <xf numFmtId="177" fontId="35" fillId="0" borderId="4" xfId="0" applyNumberFormat="1" applyFont="1" applyBorder="1"/>
    <xf numFmtId="168" fontId="35" fillId="0" borderId="49" xfId="0" applyNumberFormat="1" applyFont="1" applyBorder="1"/>
    <xf numFmtId="0" fontId="37" fillId="0" borderId="50" xfId="0" applyFont="1" applyBorder="1"/>
    <xf numFmtId="0" fontId="37" fillId="0" borderId="51" xfId="0" applyFont="1" applyBorder="1"/>
    <xf numFmtId="0" fontId="45" fillId="0" borderId="51" xfId="0" applyFont="1" applyBorder="1" applyAlignment="1">
      <alignment horizontal="center"/>
    </xf>
    <xf numFmtId="168" fontId="36" fillId="0" borderId="52" xfId="0" applyNumberFormat="1" applyFont="1" applyBorder="1"/>
    <xf numFmtId="0" fontId="35" fillId="0" borderId="26" xfId="0" applyFont="1" applyBorder="1"/>
    <xf numFmtId="0" fontId="44" fillId="0" borderId="28" xfId="0" applyFont="1" applyBorder="1" applyAlignment="1">
      <alignment horizontal="center"/>
    </xf>
    <xf numFmtId="0" fontId="45" fillId="0" borderId="28" xfId="0" applyFont="1" applyBorder="1" applyAlignment="1">
      <alignment horizontal="center"/>
    </xf>
    <xf numFmtId="0" fontId="45" fillId="0" borderId="27" xfId="0" applyFont="1" applyBorder="1" applyAlignment="1">
      <alignment horizontal="center"/>
    </xf>
    <xf numFmtId="0" fontId="45" fillId="0" borderId="56" xfId="0" applyFont="1" applyBorder="1"/>
    <xf numFmtId="0" fontId="44" fillId="0" borderId="14" xfId="0" applyFont="1" applyBorder="1" applyAlignment="1">
      <alignment horizontal="center"/>
    </xf>
    <xf numFmtId="0" fontId="45" fillId="0" borderId="14" xfId="0" applyFont="1" applyBorder="1" applyAlignment="1">
      <alignment horizontal="center"/>
    </xf>
    <xf numFmtId="0" fontId="45" fillId="0" borderId="57" xfId="0" applyFont="1" applyBorder="1" applyAlignment="1">
      <alignment horizontal="center"/>
    </xf>
    <xf numFmtId="0" fontId="47" fillId="0" borderId="48" xfId="0" applyFont="1" applyBorder="1"/>
    <xf numFmtId="0" fontId="35" fillId="0" borderId="50" xfId="0" applyFont="1" applyBorder="1"/>
    <xf numFmtId="0" fontId="48" fillId="0" borderId="0" xfId="0" applyFont="1" applyAlignment="1">
      <alignment horizontal="center"/>
    </xf>
    <xf numFmtId="168" fontId="49" fillId="0" borderId="0" xfId="0" applyNumberFormat="1" applyFont="1"/>
    <xf numFmtId="0" fontId="35" fillId="0" borderId="41" xfId="0" applyFont="1" applyBorder="1"/>
    <xf numFmtId="0" fontId="35" fillId="0" borderId="42" xfId="0" applyFont="1" applyBorder="1"/>
    <xf numFmtId="0" fontId="45" fillId="0" borderId="58" xfId="0" applyFont="1" applyBorder="1" applyAlignment="1">
      <alignment horizontal="center"/>
    </xf>
    <xf numFmtId="0" fontId="45" fillId="0" borderId="42" xfId="0" applyFont="1" applyBorder="1" applyAlignment="1">
      <alignment horizontal="center"/>
    </xf>
    <xf numFmtId="0" fontId="45" fillId="0" borderId="43" xfId="0" applyFont="1" applyBorder="1" applyAlignment="1">
      <alignment horizontal="center"/>
    </xf>
    <xf numFmtId="0" fontId="35" fillId="0" borderId="59" xfId="0" applyFont="1" applyBorder="1"/>
    <xf numFmtId="0" fontId="44" fillId="0" borderId="13" xfId="0" applyFont="1" applyBorder="1" applyAlignment="1">
      <alignment horizontal="center"/>
    </xf>
    <xf numFmtId="0" fontId="45" fillId="0" borderId="60" xfId="0" applyFont="1" applyBorder="1" applyAlignment="1">
      <alignment horizontal="center"/>
    </xf>
    <xf numFmtId="0" fontId="45" fillId="0" borderId="13" xfId="0" applyFont="1" applyBorder="1" applyAlignment="1">
      <alignment horizontal="center"/>
    </xf>
    <xf numFmtId="0" fontId="45" fillId="0" borderId="61" xfId="0" applyFont="1" applyBorder="1" applyAlignment="1">
      <alignment horizontal="center"/>
    </xf>
    <xf numFmtId="0" fontId="45" fillId="0" borderId="62" xfId="0" applyFont="1" applyBorder="1"/>
    <xf numFmtId="0" fontId="44" fillId="0" borderId="19" xfId="0" applyFont="1" applyBorder="1" applyAlignment="1">
      <alignment horizontal="center"/>
    </xf>
    <xf numFmtId="167" fontId="37" fillId="0" borderId="24" xfId="0" applyNumberFormat="1" applyFont="1" applyBorder="1"/>
    <xf numFmtId="170" fontId="35" fillId="0" borderId="24" xfId="0" applyNumberFormat="1" applyFont="1" applyBorder="1" applyAlignment="1">
      <alignment horizontal="center"/>
    </xf>
    <xf numFmtId="168" fontId="35" fillId="0" borderId="24" xfId="0" applyNumberFormat="1" applyFont="1" applyBorder="1" applyAlignment="1">
      <alignment horizontal="center"/>
    </xf>
    <xf numFmtId="178" fontId="35" fillId="0" borderId="63" xfId="0" applyNumberFormat="1" applyFont="1" applyBorder="1" applyAlignment="1">
      <alignment horizontal="right"/>
    </xf>
    <xf numFmtId="170" fontId="35" fillId="0" borderId="4" xfId="0" applyNumberFormat="1" applyFont="1" applyBorder="1" applyAlignment="1">
      <alignment horizontal="center"/>
    </xf>
    <xf numFmtId="168" fontId="35" fillId="0" borderId="4" xfId="0" applyNumberFormat="1" applyFont="1" applyBorder="1" applyAlignment="1">
      <alignment horizontal="center"/>
    </xf>
    <xf numFmtId="178" fontId="35" fillId="0" borderId="49" xfId="0" applyNumberFormat="1" applyFont="1" applyBorder="1" applyAlignment="1">
      <alignment horizontal="right"/>
    </xf>
    <xf numFmtId="0" fontId="35" fillId="0" borderId="51" xfId="0" applyFont="1" applyBorder="1"/>
    <xf numFmtId="168" fontId="33" fillId="0" borderId="51" xfId="0" applyNumberFormat="1" applyFont="1" applyBorder="1" applyAlignment="1">
      <alignment horizontal="center"/>
    </xf>
    <xf numFmtId="168" fontId="45" fillId="0" borderId="51" xfId="0" applyNumberFormat="1" applyFont="1" applyBorder="1" applyAlignment="1">
      <alignment horizontal="center"/>
    </xf>
    <xf numFmtId="168" fontId="33" fillId="0" borderId="52" xfId="0" applyNumberFormat="1" applyFont="1" applyBorder="1"/>
    <xf numFmtId="0" fontId="50" fillId="0" borderId="0" xfId="0" applyFont="1"/>
    <xf numFmtId="0" fontId="51" fillId="0" borderId="0" xfId="0" applyFont="1"/>
    <xf numFmtId="169" fontId="51" fillId="0" borderId="0" xfId="0" applyNumberFormat="1" applyFont="1" applyAlignment="1">
      <alignment wrapText="1"/>
    </xf>
    <xf numFmtId="169" fontId="52" fillId="0" borderId="0" xfId="0" applyNumberFormat="1" applyFont="1"/>
    <xf numFmtId="0" fontId="50" fillId="0" borderId="0" xfId="0" applyFont="1" applyAlignment="1">
      <alignment horizontal="center"/>
    </xf>
    <xf numFmtId="167" fontId="50" fillId="0" borderId="0" xfId="0" applyNumberFormat="1" applyFont="1"/>
    <xf numFmtId="0" fontId="50" fillId="0" borderId="0" xfId="0" applyFont="1" applyAlignment="1">
      <alignment horizontal="left"/>
    </xf>
    <xf numFmtId="167" fontId="51" fillId="0" borderId="0" xfId="0" applyNumberFormat="1" applyFont="1"/>
    <xf numFmtId="3" fontId="50" fillId="0" borderId="0" xfId="0" applyNumberFormat="1" applyFont="1"/>
    <xf numFmtId="43" fontId="50" fillId="0" borderId="0" xfId="0" applyNumberFormat="1" applyFont="1"/>
    <xf numFmtId="43" fontId="51" fillId="0" borderId="0" xfId="0" applyNumberFormat="1" applyFont="1"/>
    <xf numFmtId="0" fontId="50" fillId="0" borderId="0" xfId="0" applyFont="1" applyAlignment="1">
      <alignment wrapText="1"/>
    </xf>
    <xf numFmtId="38" fontId="50" fillId="0" borderId="0" xfId="0" applyNumberFormat="1" applyFont="1"/>
    <xf numFmtId="167" fontId="53" fillId="0" borderId="0" xfId="0" applyNumberFormat="1" applyFont="1"/>
    <xf numFmtId="167" fontId="51" fillId="24" borderId="36" xfId="0" applyNumberFormat="1" applyFont="1" applyFill="1" applyBorder="1"/>
    <xf numFmtId="43" fontId="51" fillId="24" borderId="36" xfId="0" applyNumberFormat="1" applyFont="1" applyFill="1" applyBorder="1"/>
    <xf numFmtId="0" fontId="54" fillId="0" borderId="0" xfId="0" applyFont="1"/>
    <xf numFmtId="0" fontId="3" fillId="0" borderId="0" xfId="0" applyFont="1"/>
    <xf numFmtId="0" fontId="55" fillId="0" borderId="0" xfId="0" applyFont="1"/>
    <xf numFmtId="0" fontId="55" fillId="0" borderId="26" xfId="0" applyFont="1" applyBorder="1"/>
    <xf numFmtId="0" fontId="56" fillId="0" borderId="28" xfId="0" applyFont="1" applyBorder="1" applyAlignment="1">
      <alignment horizontal="center"/>
    </xf>
    <xf numFmtId="0" fontId="51" fillId="0" borderId="28" xfId="0" applyFont="1" applyBorder="1" applyAlignment="1">
      <alignment horizontal="center"/>
    </xf>
    <xf numFmtId="0" fontId="51" fillId="0" borderId="27" xfId="0" applyFont="1" applyBorder="1" applyAlignment="1">
      <alignment horizontal="center"/>
    </xf>
    <xf numFmtId="0" fontId="56" fillId="0" borderId="32" xfId="0" applyFont="1" applyBorder="1"/>
    <xf numFmtId="0" fontId="56" fillId="0" borderId="0" xfId="0" applyFont="1" applyAlignment="1">
      <alignment horizontal="center"/>
    </xf>
    <xf numFmtId="0" fontId="56" fillId="0" borderId="33" xfId="0" applyFont="1" applyBorder="1" applyAlignment="1">
      <alignment horizontal="center"/>
    </xf>
    <xf numFmtId="0" fontId="55" fillId="0" borderId="48" xfId="0" applyFont="1" applyBorder="1"/>
    <xf numFmtId="167" fontId="55" fillId="0" borderId="4" xfId="0" applyNumberFormat="1" applyFont="1" applyBorder="1"/>
    <xf numFmtId="2" fontId="55" fillId="0" borderId="4" xfId="0" applyNumberFormat="1" applyFont="1" applyBorder="1"/>
    <xf numFmtId="179" fontId="55" fillId="0" borderId="4" xfId="0" applyNumberFormat="1" applyFont="1" applyBorder="1"/>
    <xf numFmtId="167" fontId="50" fillId="0" borderId="4" xfId="0" applyNumberFormat="1" applyFont="1" applyBorder="1"/>
    <xf numFmtId="43" fontId="55" fillId="0" borderId="2" xfId="0" applyNumberFormat="1" applyFont="1" applyBorder="1" applyAlignment="1">
      <alignment horizontal="center"/>
    </xf>
    <xf numFmtId="170" fontId="50" fillId="0" borderId="4" xfId="0" applyNumberFormat="1" applyFont="1" applyBorder="1"/>
    <xf numFmtId="0" fontId="50" fillId="0" borderId="67" xfId="0" applyFont="1" applyBorder="1"/>
    <xf numFmtId="167" fontId="51" fillId="0" borderId="51" xfId="0" applyNumberFormat="1" applyFont="1" applyBorder="1"/>
    <xf numFmtId="43" fontId="51" fillId="0" borderId="51" xfId="0" applyNumberFormat="1" applyFont="1" applyBorder="1"/>
    <xf numFmtId="170" fontId="51" fillId="0" borderId="51" xfId="0" applyNumberFormat="1" applyFont="1" applyBorder="1"/>
    <xf numFmtId="0" fontId="50" fillId="0" borderId="71" xfId="0" applyFont="1" applyBorder="1"/>
    <xf numFmtId="0" fontId="55" fillId="0" borderId="72" xfId="0" applyFont="1" applyBorder="1"/>
    <xf numFmtId="0" fontId="56" fillId="0" borderId="73" xfId="0" applyFont="1" applyBorder="1" applyAlignment="1">
      <alignment horizontal="center"/>
    </xf>
    <xf numFmtId="0" fontId="51" fillId="0" borderId="73" xfId="0" applyFont="1" applyBorder="1" applyAlignment="1">
      <alignment horizontal="center"/>
    </xf>
    <xf numFmtId="0" fontId="51" fillId="0" borderId="74" xfId="0" applyFont="1" applyBorder="1" applyAlignment="1">
      <alignment horizontal="center"/>
    </xf>
    <xf numFmtId="0" fontId="56" fillId="0" borderId="75" xfId="0" applyFont="1" applyBorder="1"/>
    <xf numFmtId="0" fontId="56" fillId="0" borderId="23" xfId="0" applyFont="1" applyBorder="1" applyAlignment="1">
      <alignment horizontal="center"/>
    </xf>
    <xf numFmtId="0" fontId="51" fillId="0" borderId="23" xfId="0" applyFont="1" applyBorder="1" applyAlignment="1">
      <alignment horizontal="center"/>
    </xf>
    <xf numFmtId="0" fontId="51" fillId="0" borderId="76" xfId="0" applyFont="1" applyBorder="1" applyAlignment="1">
      <alignment horizontal="center"/>
    </xf>
    <xf numFmtId="176" fontId="55" fillId="0" borderId="4" xfId="0" applyNumberFormat="1" applyFont="1" applyBorder="1"/>
    <xf numFmtId="177" fontId="50" fillId="0" borderId="4" xfId="0" applyNumberFormat="1" applyFont="1" applyBorder="1"/>
    <xf numFmtId="168" fontId="50" fillId="0" borderId="67" xfId="0" applyNumberFormat="1" applyFont="1" applyBorder="1"/>
    <xf numFmtId="43" fontId="55" fillId="0" borderId="0" xfId="0" applyNumberFormat="1" applyFont="1" applyAlignment="1">
      <alignment horizontal="center"/>
    </xf>
    <xf numFmtId="176" fontId="50" fillId="0" borderId="67" xfId="0" applyNumberFormat="1" applyFont="1" applyBorder="1"/>
    <xf numFmtId="164" fontId="50" fillId="0" borderId="67" xfId="0" applyNumberFormat="1" applyFont="1" applyBorder="1"/>
    <xf numFmtId="0" fontId="55" fillId="0" borderId="0" xfId="0" applyFont="1" applyAlignment="1">
      <alignment horizontal="center"/>
    </xf>
    <xf numFmtId="0" fontId="51" fillId="0" borderId="38" xfId="0" applyFont="1" applyBorder="1" applyAlignment="1">
      <alignment horizontal="center"/>
    </xf>
    <xf numFmtId="176" fontId="56" fillId="0" borderId="71" xfId="0" applyNumberFormat="1" applyFont="1" applyBorder="1"/>
    <xf numFmtId="0" fontId="51" fillId="0" borderId="0" xfId="0" applyFont="1" applyAlignment="1">
      <alignment horizontal="center"/>
    </xf>
    <xf numFmtId="176" fontId="56" fillId="0" borderId="0" xfId="0" applyNumberFormat="1" applyFont="1"/>
    <xf numFmtId="0" fontId="56" fillId="0" borderId="54" xfId="0" applyFont="1" applyBorder="1" applyAlignment="1">
      <alignment horizontal="center"/>
    </xf>
    <xf numFmtId="0" fontId="51" fillId="0" borderId="54" xfId="0" applyFont="1" applyBorder="1" applyAlignment="1">
      <alignment horizontal="center"/>
    </xf>
    <xf numFmtId="0" fontId="51" fillId="0" borderId="55" xfId="0" applyFont="1" applyBorder="1" applyAlignment="1">
      <alignment horizontal="center"/>
    </xf>
    <xf numFmtId="0" fontId="56" fillId="0" borderId="21" xfId="0" applyFont="1" applyBorder="1" applyAlignment="1">
      <alignment horizontal="center"/>
    </xf>
    <xf numFmtId="0" fontId="51" fillId="0" borderId="21" xfId="0" applyFont="1" applyBorder="1" applyAlignment="1">
      <alignment horizontal="center"/>
    </xf>
    <xf numFmtId="0" fontId="51" fillId="0" borderId="47" xfId="0" applyFont="1" applyBorder="1" applyAlignment="1">
      <alignment horizontal="center"/>
    </xf>
    <xf numFmtId="0" fontId="50" fillId="0" borderId="48" xfId="0" applyFont="1" applyBorder="1"/>
    <xf numFmtId="167" fontId="55" fillId="0" borderId="21" xfId="0" applyNumberFormat="1" applyFont="1" applyBorder="1"/>
    <xf numFmtId="176" fontId="55" fillId="0" borderId="21" xfId="0" applyNumberFormat="1" applyFont="1" applyBorder="1"/>
    <xf numFmtId="177" fontId="50" fillId="0" borderId="21" xfId="0" applyNumberFormat="1" applyFont="1" applyBorder="1"/>
    <xf numFmtId="167" fontId="50" fillId="0" borderId="21" xfId="0" applyNumberFormat="1" applyFont="1" applyBorder="1"/>
    <xf numFmtId="164" fontId="50" fillId="0" borderId="49" xfId="0" applyNumberFormat="1" applyFont="1" applyBorder="1"/>
    <xf numFmtId="177" fontId="50" fillId="0" borderId="0" xfId="0" applyNumberFormat="1" applyFont="1"/>
    <xf numFmtId="164" fontId="56" fillId="0" borderId="52" xfId="0" applyNumberFormat="1" applyFont="1" applyBorder="1"/>
    <xf numFmtId="168" fontId="56" fillId="0" borderId="0" xfId="0" applyNumberFormat="1" applyFont="1"/>
    <xf numFmtId="0" fontId="50" fillId="0" borderId="54" xfId="0" applyFont="1" applyBorder="1"/>
    <xf numFmtId="0" fontId="56" fillId="0" borderId="78" xfId="0" applyFont="1" applyBorder="1" applyAlignment="1">
      <alignment horizontal="center"/>
    </xf>
    <xf numFmtId="0" fontId="51" fillId="0" borderId="78" xfId="0" applyFont="1" applyBorder="1" applyAlignment="1">
      <alignment horizontal="center"/>
    </xf>
    <xf numFmtId="0" fontId="51" fillId="0" borderId="79" xfId="0" applyFont="1" applyBorder="1" applyAlignment="1">
      <alignment horizontal="center"/>
    </xf>
    <xf numFmtId="0" fontId="56" fillId="0" borderId="80" xfId="0" applyFont="1" applyBorder="1" applyAlignment="1">
      <alignment horizontal="center"/>
    </xf>
    <xf numFmtId="0" fontId="51" fillId="0" borderId="80" xfId="0" applyFont="1" applyBorder="1" applyAlignment="1">
      <alignment horizontal="center"/>
    </xf>
    <xf numFmtId="0" fontId="51" fillId="0" borderId="81" xfId="0" applyFont="1" applyBorder="1" applyAlignment="1">
      <alignment horizontal="center"/>
    </xf>
    <xf numFmtId="167" fontId="55" fillId="0" borderId="82" xfId="0" applyNumberFormat="1" applyFont="1" applyBorder="1"/>
    <xf numFmtId="170" fontId="50" fillId="0" borderId="83" xfId="0" applyNumberFormat="1" applyFont="1" applyBorder="1" applyAlignment="1">
      <alignment horizontal="center"/>
    </xf>
    <xf numFmtId="168" fontId="50" fillId="0" borderId="83" xfId="0" applyNumberFormat="1" applyFont="1" applyBorder="1" applyAlignment="1">
      <alignment horizontal="center"/>
    </xf>
    <xf numFmtId="178" fontId="50" fillId="0" borderId="84" xfId="0" applyNumberFormat="1" applyFont="1" applyBorder="1" applyAlignment="1">
      <alignment horizontal="right"/>
    </xf>
    <xf numFmtId="0" fontId="51" fillId="0" borderId="85" xfId="0" applyFont="1" applyBorder="1" applyAlignment="1">
      <alignment horizontal="center"/>
    </xf>
    <xf numFmtId="0" fontId="50" fillId="0" borderId="38" xfId="0" applyFont="1" applyBorder="1"/>
    <xf numFmtId="170" fontId="50" fillId="0" borderId="38" xfId="0" applyNumberFormat="1" applyFont="1" applyBorder="1"/>
    <xf numFmtId="168" fontId="50" fillId="0" borderId="86" xfId="0" applyNumberFormat="1" applyFont="1" applyBorder="1"/>
    <xf numFmtId="168" fontId="50" fillId="0" borderId="87" xfId="0" applyNumberFormat="1" applyFont="1" applyBorder="1"/>
    <xf numFmtId="178" fontId="51" fillId="0" borderId="88" xfId="0" applyNumberFormat="1" applyFont="1" applyBorder="1"/>
    <xf numFmtId="0" fontId="57" fillId="0" borderId="0" xfId="0" applyFont="1" applyAlignment="1">
      <alignment horizontal="left" vertical="top" wrapText="1"/>
    </xf>
    <xf numFmtId="0" fontId="35" fillId="0" borderId="0" xfId="0" applyFont="1" applyAlignment="1">
      <alignment wrapText="1"/>
    </xf>
    <xf numFmtId="0" fontId="58" fillId="25" borderId="36" xfId="0" applyFont="1" applyFill="1" applyBorder="1"/>
    <xf numFmtId="0" fontId="12" fillId="25" borderId="36" xfId="0" applyFont="1" applyFill="1" applyBorder="1"/>
    <xf numFmtId="0" fontId="58" fillId="0" borderId="0" xfId="0" applyFont="1"/>
    <xf numFmtId="0" fontId="12" fillId="0" borderId="89" xfId="0" applyFont="1" applyBorder="1"/>
    <xf numFmtId="0" fontId="58" fillId="0" borderId="24" xfId="0" applyFont="1" applyBorder="1"/>
    <xf numFmtId="0" fontId="58" fillId="0" borderId="90" xfId="0" applyFont="1" applyBorder="1"/>
    <xf numFmtId="0" fontId="58" fillId="0" borderId="11" xfId="0" applyFont="1" applyBorder="1"/>
    <xf numFmtId="0" fontId="58" fillId="0" borderId="91" xfId="0" applyFont="1" applyBorder="1"/>
    <xf numFmtId="0" fontId="12" fillId="0" borderId="92" xfId="0" applyFont="1" applyBorder="1"/>
    <xf numFmtId="0" fontId="12" fillId="0" borderId="2" xfId="0" applyFont="1" applyBorder="1"/>
    <xf numFmtId="0" fontId="12" fillId="0" borderId="16" xfId="0" applyFont="1" applyBorder="1"/>
    <xf numFmtId="0" fontId="12" fillId="0" borderId="18" xfId="0" applyFont="1" applyBorder="1"/>
    <xf numFmtId="0" fontId="35" fillId="0" borderId="92" xfId="0" applyFont="1" applyBorder="1" applyAlignment="1">
      <alignment horizontal="right"/>
    </xf>
    <xf numFmtId="3" fontId="35" fillId="0" borderId="4" xfId="0" applyNumberFormat="1" applyFont="1" applyBorder="1" applyAlignment="1">
      <alignment horizontal="right"/>
    </xf>
    <xf numFmtId="3" fontId="12" fillId="0" borderId="4" xfId="0" applyNumberFormat="1" applyFont="1" applyBorder="1"/>
    <xf numFmtId="3" fontId="12" fillId="0" borderId="2" xfId="0" applyNumberFormat="1" applyFont="1" applyBorder="1"/>
    <xf numFmtId="3" fontId="35" fillId="0" borderId="16" xfId="0" applyNumberFormat="1" applyFont="1" applyBorder="1" applyAlignment="1">
      <alignment horizontal="right"/>
    </xf>
    <xf numFmtId="3" fontId="12" fillId="0" borderId="16" xfId="0" applyNumberFormat="1" applyFont="1" applyBorder="1"/>
    <xf numFmtId="3" fontId="12" fillId="0" borderId="18" xfId="0" applyNumberFormat="1" applyFont="1" applyBorder="1"/>
    <xf numFmtId="0" fontId="35" fillId="0" borderId="93" xfId="0" applyFont="1" applyBorder="1" applyAlignment="1">
      <alignment horizontal="right"/>
    </xf>
    <xf numFmtId="3" fontId="35" fillId="0" borderId="94" xfId="0" applyNumberFormat="1" applyFont="1" applyBorder="1" applyAlignment="1">
      <alignment horizontal="right"/>
    </xf>
    <xf numFmtId="3" fontId="12" fillId="0" borderId="94" xfId="0" applyNumberFormat="1" applyFont="1" applyBorder="1"/>
    <xf numFmtId="3" fontId="12" fillId="0" borderId="95" xfId="0" applyNumberFormat="1" applyFont="1" applyBorder="1"/>
    <xf numFmtId="3" fontId="35" fillId="0" borderId="96" xfId="0" applyNumberFormat="1" applyFont="1" applyBorder="1" applyAlignment="1">
      <alignment horizontal="right"/>
    </xf>
    <xf numFmtId="3" fontId="12" fillId="0" borderId="96" xfId="0" applyNumberFormat="1" applyFont="1" applyBorder="1"/>
    <xf numFmtId="3" fontId="12" fillId="0" borderId="97" xfId="0" applyNumberFormat="1" applyFont="1" applyBorder="1"/>
    <xf numFmtId="0" fontId="59" fillId="0" borderId="0" xfId="0" applyFont="1"/>
    <xf numFmtId="0" fontId="60" fillId="0" borderId="0" xfId="0" applyFont="1"/>
    <xf numFmtId="0" fontId="58" fillId="0" borderId="98" xfId="0" applyFont="1" applyBorder="1"/>
    <xf numFmtId="3" fontId="35" fillId="0" borderId="4" xfId="0" applyNumberFormat="1" applyFont="1" applyBorder="1"/>
    <xf numFmtId="3" fontId="35" fillId="0" borderId="17" xfId="0" applyNumberFormat="1" applyFont="1" applyBorder="1"/>
    <xf numFmtId="0" fontId="12" fillId="0" borderId="99" xfId="0" applyFont="1" applyBorder="1"/>
    <xf numFmtId="0" fontId="12" fillId="0" borderId="23" xfId="0" applyFont="1" applyBorder="1"/>
    <xf numFmtId="3" fontId="35" fillId="0" borderId="23" xfId="0" applyNumberFormat="1" applyFont="1" applyBorder="1"/>
    <xf numFmtId="3" fontId="35" fillId="0" borderId="100" xfId="0" applyNumberFormat="1" applyFont="1" applyBorder="1"/>
    <xf numFmtId="0" fontId="12" fillId="14" borderId="101" xfId="0" applyFont="1" applyFill="1" applyBorder="1"/>
    <xf numFmtId="3" fontId="12" fillId="14" borderId="102" xfId="0" applyNumberFormat="1" applyFont="1" applyFill="1" applyBorder="1"/>
    <xf numFmtId="3" fontId="35" fillId="14" borderId="102" xfId="0" applyNumberFormat="1" applyFont="1" applyFill="1" applyBorder="1"/>
    <xf numFmtId="167" fontId="12" fillId="14" borderId="102" xfId="0" applyNumberFormat="1" applyFont="1" applyFill="1" applyBorder="1"/>
    <xf numFmtId="3" fontId="35" fillId="14" borderId="82" xfId="0" applyNumberFormat="1" applyFont="1" applyFill="1" applyBorder="1"/>
    <xf numFmtId="0" fontId="61" fillId="0" borderId="0" xfId="0" applyFont="1"/>
    <xf numFmtId="0" fontId="62" fillId="0" borderId="0" xfId="0" applyFont="1"/>
    <xf numFmtId="0" fontId="12" fillId="0" borderId="10" xfId="0" applyFont="1" applyBorder="1"/>
    <xf numFmtId="0" fontId="58" fillId="18" borderId="93" xfId="0" applyFont="1" applyFill="1" applyBorder="1"/>
    <xf numFmtId="167" fontId="12" fillId="18" borderId="94" xfId="0" applyNumberFormat="1" applyFont="1" applyFill="1" applyBorder="1"/>
    <xf numFmtId="0" fontId="58" fillId="7" borderId="93" xfId="0" applyFont="1" applyFill="1" applyBorder="1"/>
    <xf numFmtId="167" fontId="12" fillId="7" borderId="94" xfId="0" applyNumberFormat="1" applyFont="1" applyFill="1" applyBorder="1"/>
    <xf numFmtId="0" fontId="63" fillId="0" borderId="0" xfId="0" applyFont="1"/>
    <xf numFmtId="0" fontId="64" fillId="0" borderId="0" xfId="0" applyFont="1"/>
    <xf numFmtId="167" fontId="12" fillId="0" borderId="4" xfId="0" applyNumberFormat="1" applyFont="1" applyBorder="1"/>
    <xf numFmtId="167" fontId="12" fillId="0" borderId="92" xfId="0" applyNumberFormat="1" applyFont="1" applyBorder="1"/>
    <xf numFmtId="3" fontId="12" fillId="0" borderId="17" xfId="0" applyNumberFormat="1" applyFont="1" applyBorder="1"/>
    <xf numFmtId="167" fontId="12" fillId="0" borderId="23" xfId="0" applyNumberFormat="1" applyFont="1" applyBorder="1"/>
    <xf numFmtId="3" fontId="12" fillId="0" borderId="23" xfId="0" applyNumberFormat="1" applyFont="1" applyBorder="1"/>
    <xf numFmtId="3" fontId="12" fillId="0" borderId="100" xfId="0" applyNumberFormat="1" applyFont="1" applyBorder="1"/>
    <xf numFmtId="0" fontId="58" fillId="26" borderId="101" xfId="0" applyFont="1" applyFill="1" applyBorder="1"/>
    <xf numFmtId="167" fontId="12" fillId="26" borderId="102" xfId="0" applyNumberFormat="1" applyFont="1" applyFill="1" applyBorder="1"/>
    <xf numFmtId="167" fontId="12" fillId="26" borderId="82" xfId="0" applyNumberFormat="1" applyFont="1" applyFill="1" applyBorder="1"/>
    <xf numFmtId="3" fontId="12" fillId="26" borderId="102" xfId="0" applyNumberFormat="1" applyFont="1" applyFill="1" applyBorder="1"/>
    <xf numFmtId="3" fontId="12" fillId="26" borderId="82" xfId="0" applyNumberFormat="1" applyFont="1" applyFill="1" applyBorder="1"/>
    <xf numFmtId="0" fontId="58" fillId="27" borderId="93" xfId="0" applyFont="1" applyFill="1" applyBorder="1"/>
    <xf numFmtId="167" fontId="12" fillId="27" borderId="94" xfId="0" applyNumberFormat="1" applyFont="1" applyFill="1" applyBorder="1"/>
    <xf numFmtId="4" fontId="12" fillId="0" borderId="0" xfId="0" applyNumberFormat="1" applyFont="1"/>
    <xf numFmtId="3" fontId="12" fillId="0" borderId="0" xfId="0" applyNumberFormat="1" applyFont="1" applyAlignment="1">
      <alignment horizontal="center"/>
    </xf>
    <xf numFmtId="0" fontId="12" fillId="0" borderId="103" xfId="0" applyFont="1" applyBorder="1"/>
    <xf numFmtId="0" fontId="65" fillId="0" borderId="11" xfId="0" applyFont="1" applyBorder="1"/>
    <xf numFmtId="0" fontId="65" fillId="0" borderId="24" xfId="0" applyFont="1" applyBorder="1"/>
    <xf numFmtId="0" fontId="65" fillId="0" borderId="90" xfId="0" applyFont="1" applyBorder="1"/>
    <xf numFmtId="0" fontId="65" fillId="0" borderId="104" xfId="0" applyFont="1" applyBorder="1"/>
    <xf numFmtId="0" fontId="12" fillId="0" borderId="15" xfId="0" applyFont="1" applyBorder="1"/>
    <xf numFmtId="0" fontId="65" fillId="0" borderId="105" xfId="0" applyFont="1" applyBorder="1"/>
    <xf numFmtId="169" fontId="35" fillId="0" borderId="96" xfId="0" applyNumberFormat="1" applyFont="1" applyBorder="1" applyAlignment="1">
      <alignment horizontal="right"/>
    </xf>
    <xf numFmtId="169" fontId="35" fillId="0" borderId="106" xfId="0" applyNumberFormat="1" applyFont="1" applyBorder="1" applyAlignment="1">
      <alignment horizontal="right"/>
    </xf>
    <xf numFmtId="169" fontId="12" fillId="0" borderId="96" xfId="0" applyNumberFormat="1" applyFont="1" applyBorder="1"/>
    <xf numFmtId="169" fontId="12" fillId="0" borderId="25" xfId="0" applyNumberFormat="1" applyFont="1" applyBorder="1"/>
    <xf numFmtId="0" fontId="12" fillId="0" borderId="107" xfId="0" applyFont="1" applyBorder="1"/>
    <xf numFmtId="0" fontId="12" fillId="0" borderId="60" xfId="0" applyFont="1" applyBorder="1"/>
    <xf numFmtId="167" fontId="12" fillId="0" borderId="60" xfId="0" applyNumberFormat="1" applyFont="1" applyBorder="1"/>
    <xf numFmtId="2" fontId="12" fillId="0" borderId="0" xfId="0" applyNumberFormat="1" applyFont="1"/>
    <xf numFmtId="0" fontId="12" fillId="28" borderId="36" xfId="0" applyFont="1" applyFill="1" applyBorder="1"/>
    <xf numFmtId="168" fontId="12" fillId="0" borderId="60" xfId="0" applyNumberFormat="1" applyFont="1" applyBorder="1"/>
    <xf numFmtId="180" fontId="12" fillId="0" borderId="60" xfId="0" applyNumberFormat="1" applyFont="1" applyBorder="1"/>
    <xf numFmtId="0" fontId="12" fillId="0" borderId="108" xfId="0" applyFont="1" applyBorder="1"/>
    <xf numFmtId="0" fontId="12" fillId="0" borderId="25" xfId="0" applyFont="1" applyBorder="1"/>
    <xf numFmtId="0" fontId="58" fillId="8" borderId="93" xfId="0" applyFont="1" applyFill="1" applyBorder="1"/>
    <xf numFmtId="43" fontId="12" fillId="8" borderId="94" xfId="0" applyNumberFormat="1" applyFont="1" applyFill="1" applyBorder="1"/>
    <xf numFmtId="171" fontId="12" fillId="8" borderId="94" xfId="0" applyNumberFormat="1" applyFont="1" applyFill="1" applyBorder="1"/>
    <xf numFmtId="0" fontId="2" fillId="28" borderId="4" xfId="0" applyFont="1" applyFill="1" applyBorder="1"/>
    <xf numFmtId="0" fontId="2" fillId="28" borderId="4" xfId="0" applyFont="1" applyFill="1" applyBorder="1" applyAlignment="1">
      <alignment horizontal="center"/>
    </xf>
    <xf numFmtId="167" fontId="2" fillId="28" borderId="4" xfId="0" applyNumberFormat="1" applyFont="1" applyFill="1" applyBorder="1" applyAlignment="1">
      <alignment horizontal="center"/>
    </xf>
    <xf numFmtId="43" fontId="12" fillId="0" borderId="109" xfId="0" applyNumberFormat="1" applyFont="1" applyBorder="1"/>
    <xf numFmtId="43" fontId="12" fillId="0" borderId="5" xfId="0" applyNumberFormat="1" applyFont="1" applyBorder="1"/>
    <xf numFmtId="167" fontId="50" fillId="0" borderId="13" xfId="0" applyNumberFormat="1" applyFont="1" applyBorder="1"/>
    <xf numFmtId="43" fontId="12" fillId="0" borderId="4" xfId="0" applyNumberFormat="1" applyFont="1" applyBorder="1"/>
    <xf numFmtId="0" fontId="2" fillId="28" borderId="110" xfId="0" applyFont="1" applyFill="1" applyBorder="1"/>
    <xf numFmtId="0" fontId="2" fillId="28" borderId="36" xfId="0" applyFont="1" applyFill="1" applyBorder="1"/>
    <xf numFmtId="0" fontId="5" fillId="28" borderId="36" xfId="0" applyFont="1" applyFill="1" applyBorder="1"/>
    <xf numFmtId="0" fontId="50" fillId="0" borderId="111" xfId="0" applyFont="1" applyBorder="1"/>
    <xf numFmtId="0" fontId="50" fillId="0" borderId="112" xfId="0" applyFont="1" applyBorder="1" applyAlignment="1">
      <alignment horizontal="center"/>
    </xf>
    <xf numFmtId="0" fontId="50" fillId="0" borderId="20" xfId="0" applyFont="1" applyBorder="1"/>
    <xf numFmtId="182" fontId="51" fillId="0" borderId="113" xfId="0" applyNumberFormat="1" applyFont="1" applyBorder="1" applyAlignment="1">
      <alignment horizontal="center" wrapText="1"/>
    </xf>
    <xf numFmtId="182" fontId="51" fillId="0" borderId="114" xfId="0" applyNumberFormat="1" applyFont="1" applyBorder="1" applyAlignment="1">
      <alignment horizontal="center"/>
    </xf>
    <xf numFmtId="182" fontId="51" fillId="0" borderId="83" xfId="0" applyNumberFormat="1" applyFont="1" applyBorder="1" applyAlignment="1">
      <alignment horizontal="center" wrapText="1"/>
    </xf>
    <xf numFmtId="182" fontId="51" fillId="0" borderId="0" xfId="0" applyNumberFormat="1" applyFont="1"/>
    <xf numFmtId="0" fontId="50" fillId="0" borderId="114" xfId="0" applyFont="1" applyBorder="1"/>
    <xf numFmtId="0" fontId="50" fillId="0" borderId="104" xfId="0" applyFont="1" applyBorder="1" applyAlignment="1">
      <alignment horizontal="center"/>
    </xf>
    <xf numFmtId="167" fontId="50" fillId="0" borderId="114" xfId="0" applyNumberFormat="1" applyFont="1" applyBorder="1"/>
    <xf numFmtId="183" fontId="50" fillId="0" borderId="13" xfId="0" applyNumberFormat="1" applyFont="1" applyBorder="1"/>
    <xf numFmtId="10" fontId="50" fillId="0" borderId="114" xfId="0" applyNumberFormat="1" applyFont="1" applyBorder="1"/>
    <xf numFmtId="0" fontId="50" fillId="0" borderId="13" xfId="0" applyFont="1" applyBorder="1"/>
    <xf numFmtId="0" fontId="50" fillId="0" borderId="60" xfId="0" applyFont="1" applyBorder="1" applyAlignment="1">
      <alignment horizontal="center"/>
    </xf>
    <xf numFmtId="10" fontId="50" fillId="0" borderId="13" xfId="0" applyNumberFormat="1" applyFont="1" applyBorder="1"/>
    <xf numFmtId="0" fontId="50" fillId="0" borderId="8" xfId="0" applyFont="1" applyBorder="1" applyAlignment="1">
      <alignment horizontal="center"/>
    </xf>
    <xf numFmtId="167" fontId="50" fillId="0" borderId="8" xfId="0" applyNumberFormat="1" applyFont="1" applyBorder="1"/>
    <xf numFmtId="183" fontId="50" fillId="0" borderId="8" xfId="0" applyNumberFormat="1" applyFont="1" applyBorder="1"/>
    <xf numFmtId="10" fontId="50" fillId="0" borderId="8" xfId="0" applyNumberFormat="1" applyFont="1" applyBorder="1"/>
    <xf numFmtId="0" fontId="50" fillId="0" borderId="19" xfId="0" applyFont="1" applyBorder="1"/>
    <xf numFmtId="0" fontId="50" fillId="0" borderId="19" xfId="0" applyFont="1" applyBorder="1" applyAlignment="1">
      <alignment horizontal="center"/>
    </xf>
    <xf numFmtId="167" fontId="50" fillId="0" borderId="19" xfId="0" applyNumberFormat="1" applyFont="1" applyBorder="1"/>
    <xf numFmtId="183" fontId="50" fillId="0" borderId="19" xfId="0" applyNumberFormat="1" applyFont="1" applyBorder="1"/>
    <xf numFmtId="0" fontId="5" fillId="0" borderId="19" xfId="0" applyFont="1" applyBorder="1"/>
    <xf numFmtId="0" fontId="5" fillId="0" borderId="13" xfId="0" applyFont="1" applyBorder="1"/>
    <xf numFmtId="10" fontId="5" fillId="0" borderId="13" xfId="0" applyNumberFormat="1" applyFont="1" applyBorder="1"/>
    <xf numFmtId="183" fontId="50" fillId="0" borderId="114" xfId="0" applyNumberFormat="1" applyFont="1" applyBorder="1"/>
    <xf numFmtId="167" fontId="55" fillId="0" borderId="13" xfId="0" applyNumberFormat="1" applyFont="1" applyBorder="1"/>
    <xf numFmtId="167" fontId="50" fillId="0" borderId="13" xfId="0" applyNumberFormat="1" applyFont="1" applyBorder="1" applyAlignment="1">
      <alignment horizontal="right"/>
    </xf>
    <xf numFmtId="0" fontId="50" fillId="0" borderId="8" xfId="0" applyFont="1" applyBorder="1"/>
    <xf numFmtId="0" fontId="50" fillId="0" borderId="117" xfId="0" applyFont="1" applyBorder="1" applyAlignment="1">
      <alignment horizontal="center"/>
    </xf>
    <xf numFmtId="0" fontId="50" fillId="0" borderId="25" xfId="0" applyFont="1" applyBorder="1" applyAlignment="1">
      <alignment horizontal="center"/>
    </xf>
    <xf numFmtId="167" fontId="50" fillId="0" borderId="108" xfId="0" applyNumberFormat="1" applyFont="1" applyBorder="1"/>
    <xf numFmtId="167" fontId="5" fillId="0" borderId="13" xfId="0" applyNumberFormat="1" applyFont="1" applyBorder="1"/>
    <xf numFmtId="167" fontId="5" fillId="0" borderId="0" xfId="0" applyNumberFormat="1" applyFont="1"/>
    <xf numFmtId="43" fontId="5" fillId="0" borderId="0" xfId="0" applyNumberFormat="1" applyFont="1"/>
    <xf numFmtId="0" fontId="5" fillId="0" borderId="60" xfId="0" applyFont="1" applyBorder="1" applyAlignment="1">
      <alignment horizontal="center"/>
    </xf>
    <xf numFmtId="167" fontId="5" fillId="14" borderId="83" xfId="0" applyNumberFormat="1" applyFont="1" applyFill="1" applyBorder="1"/>
    <xf numFmtId="167" fontId="5" fillId="0" borderId="114" xfId="0" applyNumberFormat="1" applyFont="1" applyBorder="1" applyAlignment="1">
      <alignment horizontal="right"/>
    </xf>
    <xf numFmtId="167" fontId="5" fillId="0" borderId="0" xfId="0" applyNumberFormat="1" applyFont="1" applyAlignment="1">
      <alignment horizontal="right"/>
    </xf>
    <xf numFmtId="181" fontId="5" fillId="0" borderId="120" xfId="0" applyNumberFormat="1" applyFont="1" applyBorder="1" applyAlignment="1">
      <alignment horizontal="left"/>
    </xf>
    <xf numFmtId="167" fontId="5" fillId="0" borderId="120" xfId="0" applyNumberFormat="1" applyFont="1" applyBorder="1"/>
    <xf numFmtId="167" fontId="5" fillId="7" borderId="124" xfId="0" applyNumberFormat="1" applyFont="1" applyFill="1" applyBorder="1"/>
    <xf numFmtId="167" fontId="5" fillId="0" borderId="20" xfId="0" applyNumberFormat="1" applyFont="1" applyBorder="1"/>
    <xf numFmtId="0" fontId="5" fillId="0" borderId="0" xfId="0" applyFont="1" applyAlignment="1">
      <alignment horizontal="left"/>
    </xf>
    <xf numFmtId="3" fontId="5" fillId="0" borderId="0" xfId="0" applyNumberFormat="1" applyFont="1" applyAlignment="1">
      <alignment horizontal="center"/>
    </xf>
    <xf numFmtId="0" fontId="67" fillId="18" borderId="36" xfId="0" applyFont="1" applyFill="1" applyBorder="1"/>
    <xf numFmtId="0" fontId="1" fillId="18" borderId="36" xfId="0" applyFont="1" applyFill="1" applyBorder="1"/>
    <xf numFmtId="0" fontId="42" fillId="18" borderId="36" xfId="0" applyFont="1" applyFill="1" applyBorder="1"/>
    <xf numFmtId="0" fontId="1" fillId="0" borderId="125" xfId="0" applyFont="1" applyBorder="1"/>
    <xf numFmtId="0" fontId="1" fillId="0" borderId="126" xfId="0" applyFont="1" applyBorder="1"/>
    <xf numFmtId="0" fontId="49" fillId="0" borderId="126" xfId="0" applyFont="1" applyBorder="1" applyAlignment="1">
      <alignment horizontal="center"/>
    </xf>
    <xf numFmtId="0" fontId="1" fillId="0" borderId="127" xfId="0" applyFont="1" applyBorder="1"/>
    <xf numFmtId="0" fontId="12" fillId="0" borderId="126" xfId="0" applyFont="1" applyBorder="1"/>
    <xf numFmtId="0" fontId="12" fillId="0" borderId="127" xfId="0" applyFont="1" applyBorder="1"/>
    <xf numFmtId="0" fontId="12" fillId="0" borderId="125" xfId="0" applyFont="1" applyBorder="1"/>
    <xf numFmtId="0" fontId="49" fillId="0" borderId="126" xfId="0" applyFont="1" applyBorder="1" applyAlignment="1">
      <alignment horizontal="left"/>
    </xf>
    <xf numFmtId="0" fontId="68" fillId="0" borderId="128" xfId="0" applyFont="1" applyBorder="1" applyAlignment="1">
      <alignment horizontal="center"/>
    </xf>
    <xf numFmtId="0" fontId="51" fillId="0" borderId="129" xfId="0" applyFont="1" applyBorder="1" applyAlignment="1">
      <alignment horizontal="center"/>
    </xf>
    <xf numFmtId="0" fontId="51" fillId="0" borderId="130" xfId="0" applyFont="1" applyBorder="1" applyAlignment="1">
      <alignment horizontal="center"/>
    </xf>
    <xf numFmtId="0" fontId="55" fillId="0" borderId="129" xfId="0" applyFont="1" applyBorder="1"/>
    <xf numFmtId="0" fontId="50" fillId="0" borderId="130" xfId="0" applyFont="1" applyBorder="1"/>
    <xf numFmtId="0" fontId="50" fillId="0" borderId="129" xfId="0" applyFont="1" applyBorder="1"/>
    <xf numFmtId="0" fontId="68" fillId="0" borderId="131" xfId="0" applyFont="1" applyBorder="1" applyAlignment="1">
      <alignment horizontal="center"/>
    </xf>
    <xf numFmtId="0" fontId="56" fillId="0" borderId="0" xfId="0" applyFont="1"/>
    <xf numFmtId="0" fontId="56" fillId="0" borderId="129" xfId="0" applyFont="1" applyBorder="1" applyAlignment="1">
      <alignment horizontal="center"/>
    </xf>
    <xf numFmtId="0" fontId="68" fillId="0" borderId="129" xfId="0" applyFont="1" applyBorder="1" applyAlignment="1">
      <alignment horizontal="center" wrapText="1"/>
    </xf>
    <xf numFmtId="0" fontId="68" fillId="0" borderId="0" xfId="0" applyFont="1" applyAlignment="1">
      <alignment horizontal="center" wrapText="1"/>
    </xf>
    <xf numFmtId="0" fontId="68" fillId="0" borderId="20" xfId="0" applyFont="1" applyBorder="1" applyAlignment="1">
      <alignment horizontal="center" wrapText="1"/>
    </xf>
    <xf numFmtId="0" fontId="68" fillId="0" borderId="132" xfId="0" applyFont="1" applyBorder="1" applyAlignment="1">
      <alignment horizontal="center" wrapText="1"/>
    </xf>
    <xf numFmtId="0" fontId="68" fillId="0" borderId="133" xfId="0" applyFont="1" applyBorder="1" applyAlignment="1">
      <alignment horizontal="center" wrapText="1"/>
    </xf>
    <xf numFmtId="167" fontId="55" fillId="18" borderId="4" xfId="0" applyNumberFormat="1" applyFont="1" applyFill="1" applyBorder="1"/>
    <xf numFmtId="167" fontId="55" fillId="0" borderId="134" xfId="0" applyNumberFormat="1" applyFont="1" applyBorder="1"/>
    <xf numFmtId="170" fontId="50" fillId="0" borderId="135" xfId="0" applyNumberFormat="1" applyFont="1" applyBorder="1"/>
    <xf numFmtId="43" fontId="12" fillId="4" borderId="134" xfId="0" applyNumberFormat="1" applyFont="1" applyFill="1" applyBorder="1"/>
    <xf numFmtId="181" fontId="12" fillId="4" borderId="4" xfId="0" applyNumberFormat="1" applyFont="1" applyFill="1" applyBorder="1" applyAlignment="1">
      <alignment horizontal="right"/>
    </xf>
    <xf numFmtId="184" fontId="50" fillId="0" borderId="0" xfId="0" applyNumberFormat="1" applyFont="1"/>
    <xf numFmtId="170" fontId="12" fillId="0" borderId="0" xfId="0" applyNumberFormat="1" applyFont="1"/>
    <xf numFmtId="170" fontId="12" fillId="0" borderId="130" xfId="0" applyNumberFormat="1" applyFont="1" applyBorder="1"/>
    <xf numFmtId="166" fontId="12" fillId="0" borderId="0" xfId="0" applyNumberFormat="1" applyFont="1"/>
    <xf numFmtId="181" fontId="12" fillId="4" borderId="134" xfId="0" applyNumberFormat="1" applyFont="1" applyFill="1" applyBorder="1"/>
    <xf numFmtId="166" fontId="12" fillId="0" borderId="130" xfId="0" applyNumberFormat="1" applyFont="1" applyBorder="1"/>
    <xf numFmtId="39" fontId="12" fillId="0" borderId="131" xfId="0" applyNumberFormat="1" applyFont="1" applyBorder="1"/>
    <xf numFmtId="41" fontId="50" fillId="0" borderId="0" xfId="0" applyNumberFormat="1" applyFont="1"/>
    <xf numFmtId="185" fontId="12" fillId="4" borderId="4" xfId="0" applyNumberFormat="1" applyFont="1" applyFill="1" applyBorder="1"/>
    <xf numFmtId="181" fontId="12" fillId="4" borderId="4" xfId="0" applyNumberFormat="1" applyFont="1" applyFill="1" applyBorder="1"/>
    <xf numFmtId="2" fontId="50" fillId="0" borderId="4" xfId="0" applyNumberFormat="1" applyFont="1" applyBorder="1"/>
    <xf numFmtId="167" fontId="55" fillId="0" borderId="0" xfId="0" applyNumberFormat="1" applyFont="1"/>
    <xf numFmtId="170" fontId="50" fillId="0" borderId="0" xfId="0" applyNumberFormat="1" applyFont="1"/>
    <xf numFmtId="170" fontId="50" fillId="0" borderId="130" xfId="0" applyNumberFormat="1" applyFont="1" applyBorder="1"/>
    <xf numFmtId="0" fontId="50" fillId="0" borderId="131" xfId="0" applyFont="1" applyBorder="1"/>
    <xf numFmtId="185" fontId="12" fillId="4" borderId="136" xfId="0" applyNumberFormat="1" applyFont="1" applyFill="1" applyBorder="1"/>
    <xf numFmtId="181" fontId="12" fillId="4" borderId="136" xfId="0" applyNumberFormat="1" applyFont="1" applyFill="1" applyBorder="1"/>
    <xf numFmtId="181" fontId="12" fillId="4" borderId="137" xfId="0" applyNumberFormat="1" applyFont="1" applyFill="1" applyBorder="1"/>
    <xf numFmtId="0" fontId="55" fillId="18" borderId="4" xfId="0" applyFont="1" applyFill="1" applyBorder="1"/>
    <xf numFmtId="179" fontId="55" fillId="18" borderId="4" xfId="0" applyNumberFormat="1" applyFont="1" applyFill="1" applyBorder="1"/>
    <xf numFmtId="0" fontId="55" fillId="0" borderId="138" xfId="0" applyFont="1" applyBorder="1"/>
    <xf numFmtId="0" fontId="55" fillId="0" borderId="139" xfId="0" applyFont="1" applyBorder="1" applyAlignment="1">
      <alignment horizontal="center"/>
    </xf>
    <xf numFmtId="0" fontId="55" fillId="0" borderId="139" xfId="0" applyFont="1" applyBorder="1"/>
    <xf numFmtId="0" fontId="55" fillId="0" borderId="139" xfId="0" applyFont="1" applyBorder="1" applyAlignment="1">
      <alignment horizontal="left"/>
    </xf>
    <xf numFmtId="170" fontId="55" fillId="0" borderId="140" xfId="0" applyNumberFormat="1" applyFont="1" applyBorder="1"/>
    <xf numFmtId="0" fontId="50" fillId="0" borderId="139" xfId="0" applyFont="1" applyBorder="1"/>
    <xf numFmtId="0" fontId="50" fillId="0" borderId="140" xfId="0" applyFont="1" applyBorder="1"/>
    <xf numFmtId="0" fontId="50" fillId="0" borderId="138" xfId="0" applyFont="1" applyBorder="1"/>
    <xf numFmtId="0" fontId="50" fillId="0" borderId="141" xfId="0" applyFont="1" applyBorder="1"/>
    <xf numFmtId="0" fontId="55" fillId="0" borderId="0" xfId="0" applyFont="1" applyAlignment="1">
      <alignment horizontal="left"/>
    </xf>
    <xf numFmtId="9" fontId="55" fillId="0" borderId="4" xfId="0" applyNumberFormat="1" applyFont="1" applyBorder="1"/>
    <xf numFmtId="0" fontId="67" fillId="4" borderId="36" xfId="0" applyFont="1" applyFill="1" applyBorder="1"/>
    <xf numFmtId="0" fontId="1" fillId="4" borderId="36" xfId="0" applyFont="1" applyFill="1" applyBorder="1"/>
    <xf numFmtId="0" fontId="42" fillId="4" borderId="36" xfId="0" applyFont="1" applyFill="1" applyBorder="1"/>
    <xf numFmtId="0" fontId="69" fillId="0" borderId="0" xfId="0" applyFont="1" applyAlignment="1">
      <alignment horizontal="center"/>
    </xf>
    <xf numFmtId="0" fontId="69" fillId="0" borderId="0" xfId="0" applyFont="1"/>
    <xf numFmtId="0" fontId="70" fillId="0" borderId="0" xfId="0" applyFont="1"/>
    <xf numFmtId="167" fontId="71" fillId="4" borderId="4" xfId="0" applyNumberFormat="1" applyFont="1" applyFill="1" applyBorder="1"/>
    <xf numFmtId="0" fontId="70" fillId="0" borderId="0" xfId="0" applyFont="1" applyAlignment="1">
      <alignment horizontal="center"/>
    </xf>
    <xf numFmtId="2" fontId="9" fillId="0" borderId="4" xfId="0" applyNumberFormat="1" applyFont="1" applyBorder="1"/>
    <xf numFmtId="179" fontId="71" fillId="0" borderId="4" xfId="0" applyNumberFormat="1" applyFont="1" applyBorder="1"/>
    <xf numFmtId="0" fontId="1" fillId="0" borderId="0" xfId="0" applyFont="1" applyAlignment="1">
      <alignment horizontal="center"/>
    </xf>
    <xf numFmtId="167" fontId="71" fillId="0" borderId="4" xfId="0" applyNumberFormat="1" applyFont="1" applyBorder="1"/>
    <xf numFmtId="186" fontId="9" fillId="0" borderId="4" xfId="0" applyNumberFormat="1" applyFont="1" applyBorder="1"/>
    <xf numFmtId="0" fontId="71" fillId="0" borderId="0" xfId="0" applyFont="1" applyAlignment="1">
      <alignment horizontal="center"/>
    </xf>
    <xf numFmtId="2" fontId="71" fillId="0" borderId="4" xfId="0" applyNumberFormat="1" applyFont="1" applyBorder="1"/>
    <xf numFmtId="167" fontId="72" fillId="2" borderId="36" xfId="0" applyNumberFormat="1" applyFont="1" applyFill="1" applyBorder="1"/>
    <xf numFmtId="0" fontId="71" fillId="0" borderId="0" xfId="0" applyFont="1"/>
    <xf numFmtId="179" fontId="71" fillId="0" borderId="0" xfId="0" applyNumberFormat="1" applyFont="1"/>
    <xf numFmtId="167" fontId="71" fillId="0" borderId="0" xfId="0" applyNumberFormat="1" applyFont="1"/>
    <xf numFmtId="186" fontId="9" fillId="0" borderId="83" xfId="0" applyNumberFormat="1" applyFont="1" applyBorder="1"/>
    <xf numFmtId="0" fontId="69" fillId="0" borderId="20" xfId="0" applyFont="1" applyBorder="1"/>
    <xf numFmtId="167" fontId="72" fillId="2" borderId="142" xfId="0" applyNumberFormat="1" applyFont="1" applyFill="1" applyBorder="1"/>
    <xf numFmtId="0" fontId="70" fillId="0" borderId="20" xfId="0" applyFont="1" applyBorder="1" applyAlignment="1">
      <alignment horizontal="center"/>
    </xf>
    <xf numFmtId="0" fontId="71" fillId="0" borderId="20" xfId="0" applyFont="1" applyBorder="1"/>
    <xf numFmtId="179" fontId="71" fillId="0" borderId="20" xfId="0" applyNumberFormat="1" applyFont="1" applyBorder="1"/>
    <xf numFmtId="0" fontId="1" fillId="0" borderId="20" xfId="0" applyFont="1" applyBorder="1" applyAlignment="1">
      <alignment horizontal="center"/>
    </xf>
    <xf numFmtId="167" fontId="71" fillId="0" borderId="20" xfId="0" applyNumberFormat="1" applyFont="1" applyBorder="1"/>
    <xf numFmtId="170" fontId="9" fillId="0" borderId="20" xfId="0" applyNumberFormat="1" applyFont="1" applyBorder="1"/>
    <xf numFmtId="0" fontId="70" fillId="0" borderId="20" xfId="0" applyFont="1" applyBorder="1"/>
    <xf numFmtId="0" fontId="73" fillId="29" borderId="83" xfId="0" applyFont="1" applyFill="1" applyBorder="1" applyAlignment="1">
      <alignment horizontal="center" vertical="top" wrapText="1"/>
    </xf>
    <xf numFmtId="0" fontId="73" fillId="29" borderId="143" xfId="0" applyFont="1" applyFill="1" applyBorder="1" applyAlignment="1">
      <alignment horizontal="center" wrapText="1"/>
    </xf>
    <xf numFmtId="0" fontId="51" fillId="24" borderId="124" xfId="0" applyFont="1" applyFill="1" applyBorder="1" applyAlignment="1">
      <alignment horizontal="center" vertical="top" wrapText="1"/>
    </xf>
    <xf numFmtId="3" fontId="51" fillId="24" borderId="144" xfId="0" applyNumberFormat="1" applyFont="1" applyFill="1" applyBorder="1" applyAlignment="1">
      <alignment horizontal="center" vertical="top" wrapText="1"/>
    </xf>
    <xf numFmtId="0" fontId="51" fillId="24" borderId="113" xfId="0" applyFont="1" applyFill="1" applyBorder="1" applyAlignment="1">
      <alignment horizontal="center" vertical="top" wrapText="1"/>
    </xf>
    <xf numFmtId="0" fontId="74" fillId="14" borderId="145" xfId="0" applyFont="1" applyFill="1" applyBorder="1" applyAlignment="1">
      <alignment horizontal="center" vertical="top" wrapText="1"/>
    </xf>
    <xf numFmtId="0" fontId="74" fillId="14" borderId="143" xfId="0" applyFont="1" applyFill="1" applyBorder="1" applyAlignment="1">
      <alignment horizontal="center" vertical="top" wrapText="1"/>
    </xf>
    <xf numFmtId="0" fontId="74" fillId="14" borderId="12" xfId="0" applyFont="1" applyFill="1" applyBorder="1" applyAlignment="1">
      <alignment horizontal="center" vertical="top" wrapText="1"/>
    </xf>
    <xf numFmtId="0" fontId="50" fillId="0" borderId="19" xfId="0" applyFont="1" applyBorder="1" applyAlignment="1">
      <alignment horizontal="center" wrapText="1"/>
    </xf>
    <xf numFmtId="3" fontId="55" fillId="0" borderId="25" xfId="0" applyNumberFormat="1" applyFont="1" applyBorder="1" applyAlignment="1">
      <alignment horizontal="center" vertical="top" wrapText="1"/>
    </xf>
    <xf numFmtId="0" fontId="55" fillId="0" borderId="12" xfId="0" applyFont="1" applyBorder="1" applyAlignment="1">
      <alignment horizontal="center" wrapText="1"/>
    </xf>
    <xf numFmtId="0" fontId="55" fillId="0" borderId="25" xfId="0" applyFont="1" applyBorder="1" applyAlignment="1">
      <alignment horizontal="center" vertical="top" wrapText="1"/>
    </xf>
    <xf numFmtId="0" fontId="55" fillId="0" borderId="146" xfId="0" applyFont="1" applyBorder="1" applyAlignment="1">
      <alignment horizontal="center" wrapText="1"/>
    </xf>
    <xf numFmtId="0" fontId="50" fillId="0" borderId="0" xfId="0" applyFont="1" applyAlignment="1">
      <alignment vertical="center"/>
    </xf>
    <xf numFmtId="0" fontId="73" fillId="29" borderId="124" xfId="0" applyFont="1" applyFill="1" applyBorder="1" applyAlignment="1">
      <alignment horizontal="center" wrapText="1"/>
    </xf>
    <xf numFmtId="0" fontId="55" fillId="0" borderId="25" xfId="0" applyFont="1" applyBorder="1" applyAlignment="1">
      <alignment horizontal="center" wrapText="1"/>
    </xf>
    <xf numFmtId="0" fontId="55" fillId="0" borderId="19" xfId="0" applyFont="1" applyBorder="1" applyAlignment="1">
      <alignment horizontal="center" wrapText="1"/>
    </xf>
    <xf numFmtId="3" fontId="55" fillId="0" borderId="19" xfId="0" applyNumberFormat="1" applyFont="1" applyBorder="1" applyAlignment="1">
      <alignment horizontal="center" wrapText="1"/>
    </xf>
    <xf numFmtId="3" fontId="55" fillId="14" borderId="83" xfId="0" applyNumberFormat="1" applyFont="1" applyFill="1" applyBorder="1" applyAlignment="1">
      <alignment horizontal="center" wrapText="1"/>
    </xf>
    <xf numFmtId="3" fontId="55" fillId="14" borderId="124" xfId="0" applyNumberFormat="1" applyFont="1" applyFill="1" applyBorder="1" applyAlignment="1">
      <alignment horizontal="center" wrapText="1"/>
    </xf>
    <xf numFmtId="0" fontId="15" fillId="25" borderId="36" xfId="0" applyFont="1" applyFill="1" applyBorder="1"/>
    <xf numFmtId="0" fontId="12" fillId="0" borderId="53" xfId="0" applyFont="1" applyBorder="1"/>
    <xf numFmtId="0" fontId="48" fillId="0" borderId="54" xfId="0" applyFont="1" applyBorder="1" applyAlignment="1">
      <alignment horizontal="center"/>
    </xf>
    <xf numFmtId="0" fontId="48" fillId="0" borderId="55" xfId="0" applyFont="1" applyBorder="1" applyAlignment="1">
      <alignment horizontal="center"/>
    </xf>
    <xf numFmtId="0" fontId="48" fillId="0" borderId="48" xfId="0" applyFont="1" applyBorder="1"/>
    <xf numFmtId="0" fontId="48" fillId="0" borderId="78" xfId="0" applyFont="1" applyBorder="1" applyAlignment="1">
      <alignment horizontal="center"/>
    </xf>
    <xf numFmtId="0" fontId="48" fillId="0" borderId="79" xfId="0" applyFont="1" applyBorder="1" applyAlignment="1">
      <alignment horizontal="center"/>
    </xf>
    <xf numFmtId="0" fontId="18" fillId="0" borderId="48" xfId="0" applyFont="1" applyBorder="1"/>
    <xf numFmtId="179" fontId="9" fillId="0" borderId="4" xfId="0" applyNumberFormat="1" applyFont="1" applyBorder="1"/>
    <xf numFmtId="187" fontId="12" fillId="0" borderId="49" xfId="0" applyNumberFormat="1" applyFont="1" applyBorder="1"/>
    <xf numFmtId="170" fontId="9" fillId="0" borderId="0" xfId="0" applyNumberFormat="1" applyFont="1"/>
    <xf numFmtId="0" fontId="12" fillId="0" borderId="69" xfId="0" applyFont="1" applyBorder="1"/>
    <xf numFmtId="187" fontId="68" fillId="0" borderId="52" xfId="0" applyNumberFormat="1" applyFont="1" applyBorder="1"/>
    <xf numFmtId="0" fontId="42" fillId="25" borderId="36" xfId="0" applyFont="1" applyFill="1" applyBorder="1"/>
    <xf numFmtId="0" fontId="48" fillId="0" borderId="28" xfId="0" applyFont="1" applyBorder="1" applyAlignment="1">
      <alignment horizontal="center"/>
    </xf>
    <xf numFmtId="0" fontId="48" fillId="0" borderId="27" xfId="0" applyFont="1" applyBorder="1" applyAlignment="1">
      <alignment horizontal="center"/>
    </xf>
    <xf numFmtId="0" fontId="48" fillId="0" borderId="32" xfId="0" applyFont="1" applyBorder="1"/>
    <xf numFmtId="0" fontId="48" fillId="0" borderId="33" xfId="0" applyFont="1" applyBorder="1" applyAlignment="1">
      <alignment horizontal="center"/>
    </xf>
    <xf numFmtId="176" fontId="9" fillId="0" borderId="4" xfId="0" applyNumberFormat="1" applyFont="1" applyBorder="1"/>
    <xf numFmtId="178" fontId="12" fillId="0" borderId="4" xfId="0" applyNumberFormat="1" applyFont="1" applyBorder="1"/>
    <xf numFmtId="178" fontId="9" fillId="0" borderId="49" xfId="0" applyNumberFormat="1" applyFont="1" applyBorder="1" applyAlignment="1">
      <alignment horizontal="center"/>
    </xf>
    <xf numFmtId="167" fontId="9" fillId="0" borderId="0" xfId="0" applyNumberFormat="1" applyFont="1" applyAlignment="1">
      <alignment horizontal="center"/>
    </xf>
    <xf numFmtId="168" fontId="9" fillId="0" borderId="0" xfId="0" applyNumberFormat="1" applyFont="1"/>
    <xf numFmtId="0" fontId="18" fillId="0" borderId="75" xfId="0" applyFont="1" applyBorder="1"/>
    <xf numFmtId="167" fontId="9" fillId="0" borderId="23" xfId="0" applyNumberFormat="1" applyFont="1" applyBorder="1"/>
    <xf numFmtId="176" fontId="9" fillId="0" borderId="23" xfId="0" applyNumberFormat="1" applyFont="1" applyBorder="1"/>
    <xf numFmtId="178" fontId="12" fillId="0" borderId="23" xfId="0" applyNumberFormat="1" applyFont="1" applyBorder="1"/>
    <xf numFmtId="178" fontId="9" fillId="0" borderId="76" xfId="0" applyNumberFormat="1" applyFont="1" applyBorder="1" applyAlignment="1">
      <alignment horizontal="center"/>
    </xf>
    <xf numFmtId="0" fontId="12" fillId="0" borderId="68" xfId="0" applyFont="1" applyBorder="1"/>
    <xf numFmtId="0" fontId="68" fillId="0" borderId="69" xfId="0" applyFont="1" applyBorder="1"/>
    <xf numFmtId="178" fontId="68" fillId="0" borderId="147" xfId="0" applyNumberFormat="1" applyFont="1" applyBorder="1"/>
    <xf numFmtId="170" fontId="75" fillId="0" borderId="0" xfId="0" applyNumberFormat="1" applyFont="1"/>
    <xf numFmtId="168" fontId="75" fillId="0" borderId="0" xfId="0" applyNumberFormat="1" applyFont="1"/>
    <xf numFmtId="177" fontId="12" fillId="0" borderId="4" xfId="0" applyNumberFormat="1" applyFont="1" applyBorder="1"/>
    <xf numFmtId="178" fontId="9" fillId="0" borderId="49" xfId="0" applyNumberFormat="1" applyFont="1" applyBorder="1"/>
    <xf numFmtId="0" fontId="48" fillId="0" borderId="38" xfId="0" applyFont="1" applyBorder="1" applyAlignment="1">
      <alignment horizontal="center"/>
    </xf>
    <xf numFmtId="178" fontId="68" fillId="0" borderId="52" xfId="0" applyNumberFormat="1" applyFont="1" applyBorder="1"/>
    <xf numFmtId="0" fontId="15" fillId="8" borderId="36" xfId="0" applyFont="1" applyFill="1" applyBorder="1"/>
    <xf numFmtId="0" fontId="12" fillId="8" borderId="36" xfId="0" applyFont="1" applyFill="1" applyBorder="1"/>
    <xf numFmtId="0" fontId="42" fillId="8" borderId="36" xfId="0" applyFont="1" applyFill="1" applyBorder="1"/>
    <xf numFmtId="0" fontId="68" fillId="0" borderId="55" xfId="0" applyFont="1" applyBorder="1" applyAlignment="1">
      <alignment horizontal="center"/>
    </xf>
    <xf numFmtId="0" fontId="68" fillId="0" borderId="79" xfId="0" applyFont="1" applyBorder="1" applyAlignment="1">
      <alignment horizontal="center"/>
    </xf>
    <xf numFmtId="0" fontId="68" fillId="0" borderId="32" xfId="0" applyFont="1" applyBorder="1"/>
    <xf numFmtId="184" fontId="12" fillId="0" borderId="49" xfId="0" applyNumberFormat="1" applyFont="1" applyBorder="1"/>
    <xf numFmtId="184" fontId="12" fillId="0" borderId="148" xfId="0" applyNumberFormat="1" applyFont="1" applyBorder="1" applyAlignment="1">
      <alignment horizontal="center"/>
    </xf>
    <xf numFmtId="178" fontId="9" fillId="0" borderId="0" xfId="0" applyNumberFormat="1" applyFont="1"/>
    <xf numFmtId="184" fontId="68" fillId="0" borderId="49" xfId="0" applyNumberFormat="1" applyFont="1" applyBorder="1"/>
    <xf numFmtId="0" fontId="68" fillId="0" borderId="39" xfId="0" applyFont="1" applyBorder="1" applyAlignment="1">
      <alignment horizontal="center"/>
    </xf>
    <xf numFmtId="43" fontId="68" fillId="0" borderId="149" xfId="0" applyNumberFormat="1" applyFont="1" applyBorder="1"/>
    <xf numFmtId="178" fontId="68" fillId="0" borderId="0" xfId="0" applyNumberFormat="1" applyFont="1"/>
    <xf numFmtId="0" fontId="15" fillId="25" borderId="150" xfId="0" applyFont="1" applyFill="1" applyBorder="1"/>
    <xf numFmtId="0" fontId="12" fillId="25" borderId="151" xfId="0" applyFont="1" applyFill="1" applyBorder="1"/>
    <xf numFmtId="0" fontId="15" fillId="25" borderId="151" xfId="0" applyFont="1" applyFill="1" applyBorder="1"/>
    <xf numFmtId="0" fontId="15" fillId="0" borderId="28" xfId="0" applyFont="1" applyBorder="1"/>
    <xf numFmtId="0" fontId="12" fillId="0" borderId="152" xfId="0" applyFont="1" applyBorder="1"/>
    <xf numFmtId="0" fontId="48" fillId="0" borderId="153" xfId="0" applyFont="1" applyBorder="1" applyAlignment="1">
      <alignment horizontal="center"/>
    </xf>
    <xf numFmtId="0" fontId="48" fillId="0" borderId="154" xfId="0" applyFont="1" applyBorder="1" applyAlignment="1">
      <alignment horizontal="center"/>
    </xf>
    <xf numFmtId="0" fontId="48" fillId="0" borderId="155" xfId="0" applyFont="1" applyBorder="1"/>
    <xf numFmtId="0" fontId="48" fillId="0" borderId="80" xfId="0" applyFont="1" applyBorder="1" applyAlignment="1">
      <alignment horizontal="center"/>
    </xf>
    <xf numFmtId="0" fontId="48" fillId="0" borderId="81" xfId="0" applyFont="1" applyBorder="1" applyAlignment="1">
      <alignment horizontal="center"/>
    </xf>
    <xf numFmtId="0" fontId="18" fillId="0" borderId="32" xfId="0" applyFont="1" applyBorder="1"/>
    <xf numFmtId="167" fontId="9" fillId="0" borderId="21" xfId="0" applyNumberFormat="1" applyFont="1" applyBorder="1"/>
    <xf numFmtId="2" fontId="9" fillId="0" borderId="21" xfId="0" applyNumberFormat="1" applyFont="1" applyBorder="1"/>
    <xf numFmtId="179" fontId="9" fillId="0" borderId="21" xfId="0" applyNumberFormat="1" applyFont="1" applyBorder="1"/>
    <xf numFmtId="43" fontId="12" fillId="0" borderId="21" xfId="0" applyNumberFormat="1" applyFont="1" applyBorder="1"/>
    <xf numFmtId="168" fontId="12" fillId="0" borderId="63" xfId="0" applyNumberFormat="1" applyFont="1" applyBorder="1"/>
    <xf numFmtId="168" fontId="12" fillId="0" borderId="49" xfId="0" applyNumberFormat="1" applyFont="1" applyBorder="1"/>
    <xf numFmtId="2" fontId="9" fillId="0" borderId="23" xfId="0" applyNumberFormat="1" applyFont="1" applyBorder="1"/>
    <xf numFmtId="179" fontId="9" fillId="0" borderId="23" xfId="0" applyNumberFormat="1" applyFont="1" applyBorder="1"/>
    <xf numFmtId="43" fontId="12" fillId="0" borderId="23" xfId="0" applyNumberFormat="1" applyFont="1" applyBorder="1"/>
    <xf numFmtId="168" fontId="12" fillId="0" borderId="156" xfId="0" applyNumberFormat="1" applyFont="1" applyBorder="1"/>
    <xf numFmtId="0" fontId="12" fillId="0" borderId="111" xfId="0" applyFont="1" applyBorder="1"/>
    <xf numFmtId="0" fontId="12" fillId="0" borderId="112" xfId="0" applyFont="1" applyBorder="1"/>
    <xf numFmtId="0" fontId="48" fillId="0" borderId="83" xfId="0" applyFont="1" applyBorder="1" applyAlignment="1">
      <alignment horizontal="center"/>
    </xf>
    <xf numFmtId="168" fontId="68" fillId="0" borderId="84" xfId="0" applyNumberFormat="1" applyFont="1" applyBorder="1"/>
    <xf numFmtId="0" fontId="18" fillId="0" borderId="157" xfId="0" applyFont="1" applyBorder="1"/>
    <xf numFmtId="176" fontId="9" fillId="0" borderId="21" xfId="0" applyNumberFormat="1" applyFont="1" applyBorder="1"/>
    <xf numFmtId="177" fontId="9" fillId="0" borderId="21" xfId="0" applyNumberFormat="1" applyFont="1" applyBorder="1"/>
    <xf numFmtId="0" fontId="9" fillId="0" borderId="0" xfId="0" applyFont="1" applyAlignment="1">
      <alignment horizontal="center"/>
    </xf>
    <xf numFmtId="177" fontId="9" fillId="0" borderId="4" xfId="0" applyNumberFormat="1" applyFont="1" applyBorder="1"/>
    <xf numFmtId="167" fontId="12" fillId="0" borderId="38" xfId="0" applyNumberFormat="1" applyFont="1" applyBorder="1"/>
    <xf numFmtId="0" fontId="48" fillId="0" borderId="158" xfId="0" applyFont="1" applyBorder="1" applyAlignment="1">
      <alignment horizontal="center"/>
    </xf>
    <xf numFmtId="168" fontId="68" fillId="0" borderId="147" xfId="0" applyNumberFormat="1" applyFont="1" applyBorder="1"/>
    <xf numFmtId="0" fontId="12" fillId="0" borderId="159" xfId="0" applyFont="1" applyBorder="1"/>
    <xf numFmtId="0" fontId="48" fillId="0" borderId="114" xfId="0" applyFont="1" applyBorder="1" applyAlignment="1">
      <alignment horizontal="center"/>
    </xf>
    <xf numFmtId="0" fontId="48" fillId="0" borderId="160" xfId="0" applyFont="1" applyBorder="1" applyAlignment="1">
      <alignment horizontal="center"/>
    </xf>
    <xf numFmtId="0" fontId="48" fillId="0" borderId="44" xfId="0" applyFont="1" applyBorder="1"/>
    <xf numFmtId="0" fontId="48" fillId="0" borderId="19" xfId="0" applyFont="1" applyBorder="1" applyAlignment="1">
      <alignment horizontal="center"/>
    </xf>
    <xf numFmtId="0" fontId="48" fillId="0" borderId="45" xfId="0" applyFont="1" applyBorder="1" applyAlignment="1">
      <alignment horizontal="center"/>
    </xf>
    <xf numFmtId="43" fontId="18" fillId="0" borderId="24" xfId="0" applyNumberFormat="1" applyFont="1" applyBorder="1" applyAlignment="1">
      <alignment horizontal="center"/>
    </xf>
    <xf numFmtId="0" fontId="12" fillId="0" borderId="63" xfId="0" applyFont="1" applyBorder="1"/>
    <xf numFmtId="43" fontId="18" fillId="0" borderId="4" xfId="0" applyNumberFormat="1" applyFont="1" applyBorder="1" applyAlignment="1">
      <alignment horizontal="center"/>
    </xf>
    <xf numFmtId="0" fontId="12" fillId="0" borderId="49" xfId="0" applyFont="1" applyBorder="1"/>
    <xf numFmtId="0" fontId="12" fillId="0" borderId="156" xfId="0" applyFont="1" applyBorder="1"/>
    <xf numFmtId="0" fontId="48" fillId="0" borderId="87" xfId="0" applyFont="1" applyBorder="1" applyAlignment="1">
      <alignment horizontal="center"/>
    </xf>
    <xf numFmtId="0" fontId="68" fillId="0" borderId="161" xfId="0" applyFont="1" applyBorder="1"/>
    <xf numFmtId="0" fontId="15" fillId="8" borderId="150" xfId="0" applyFont="1" applyFill="1" applyBorder="1"/>
    <xf numFmtId="0" fontId="12" fillId="8" borderId="151" xfId="0" applyFont="1" applyFill="1" applyBorder="1"/>
    <xf numFmtId="0" fontId="12" fillId="0" borderId="162" xfId="0" applyFont="1" applyBorder="1"/>
    <xf numFmtId="0" fontId="12" fillId="0" borderId="163" xfId="0" applyFont="1" applyBorder="1"/>
    <xf numFmtId="0" fontId="33" fillId="0" borderId="54" xfId="0" applyFont="1" applyBorder="1" applyAlignment="1">
      <alignment horizontal="center"/>
    </xf>
    <xf numFmtId="0" fontId="33" fillId="0" borderId="55" xfId="0" applyFont="1" applyBorder="1" applyAlignment="1">
      <alignment horizontal="center"/>
    </xf>
    <xf numFmtId="0" fontId="12" fillId="0" borderId="164" xfId="0" applyFont="1" applyBorder="1"/>
    <xf numFmtId="0" fontId="48" fillId="0" borderId="16" xfId="0" applyFont="1" applyBorder="1" applyAlignment="1">
      <alignment horizontal="center"/>
    </xf>
    <xf numFmtId="0" fontId="48" fillId="0" borderId="164" xfId="0" applyFont="1" applyBorder="1"/>
    <xf numFmtId="0" fontId="48" fillId="0" borderId="21" xfId="0" applyFont="1" applyBorder="1" applyAlignment="1">
      <alignment horizontal="center"/>
    </xf>
    <xf numFmtId="0" fontId="48" fillId="0" borderId="47" xfId="0" applyFont="1" applyBorder="1" applyAlignment="1">
      <alignment horizontal="center"/>
    </xf>
    <xf numFmtId="0" fontId="18" fillId="0" borderId="164" xfId="0" applyFont="1" applyBorder="1"/>
    <xf numFmtId="0" fontId="18" fillId="0" borderId="16" xfId="0" applyFont="1" applyBorder="1" applyAlignment="1">
      <alignment horizontal="center"/>
    </xf>
    <xf numFmtId="168" fontId="12" fillId="0" borderId="67" xfId="0" applyNumberFormat="1" applyFont="1" applyBorder="1"/>
    <xf numFmtId="0" fontId="9" fillId="0" borderId="4" xfId="0" applyFont="1" applyBorder="1"/>
    <xf numFmtId="168" fontId="12" fillId="0" borderId="165" xfId="0" applyNumberFormat="1" applyFont="1" applyBorder="1"/>
    <xf numFmtId="168" fontId="68" fillId="0" borderId="161" xfId="0" applyNumberFormat="1" applyFont="1" applyBorder="1"/>
    <xf numFmtId="0" fontId="1" fillId="25" borderId="36" xfId="0" applyFont="1" applyFill="1" applyBorder="1"/>
    <xf numFmtId="0" fontId="42" fillId="0" borderId="53" xfId="0" applyFont="1" applyBorder="1"/>
    <xf numFmtId="0" fontId="69" fillId="0" borderId="54" xfId="0" applyFont="1" applyBorder="1" applyAlignment="1">
      <alignment horizontal="center"/>
    </xf>
    <xf numFmtId="0" fontId="1" fillId="0" borderId="54" xfId="0" applyFont="1" applyBorder="1"/>
    <xf numFmtId="0" fontId="1" fillId="0" borderId="55" xfId="0" applyFont="1" applyBorder="1"/>
    <xf numFmtId="0" fontId="1" fillId="0" borderId="166" xfId="0" applyFont="1" applyBorder="1"/>
    <xf numFmtId="0" fontId="69" fillId="0" borderId="78" xfId="0" applyFont="1" applyBorder="1" applyAlignment="1">
      <alignment horizontal="center"/>
    </xf>
    <xf numFmtId="0" fontId="1" fillId="0" borderId="78" xfId="0" applyFont="1" applyBorder="1"/>
    <xf numFmtId="0" fontId="69" fillId="0" borderId="46" xfId="0" applyFont="1" applyBorder="1"/>
    <xf numFmtId="0" fontId="69" fillId="0" borderId="21" xfId="0" applyFont="1" applyBorder="1" applyAlignment="1">
      <alignment horizontal="center"/>
    </xf>
    <xf numFmtId="0" fontId="70" fillId="0" borderId="48" xfId="0" applyFont="1" applyBorder="1"/>
    <xf numFmtId="167" fontId="1" fillId="0" borderId="4" xfId="0" applyNumberFormat="1" applyFont="1" applyBorder="1"/>
    <xf numFmtId="9" fontId="1" fillId="0" borderId="4" xfId="0" applyNumberFormat="1" applyFont="1" applyBorder="1" applyAlignment="1">
      <alignment horizontal="center"/>
    </xf>
    <xf numFmtId="167" fontId="1" fillId="0" borderId="4" xfId="0" applyNumberFormat="1" applyFont="1" applyBorder="1" applyAlignment="1">
      <alignment horizontal="center"/>
    </xf>
    <xf numFmtId="2" fontId="1" fillId="0" borderId="4" xfId="0" applyNumberFormat="1" applyFont="1" applyBorder="1" applyAlignment="1">
      <alignment horizontal="center"/>
    </xf>
    <xf numFmtId="179" fontId="1" fillId="0" borderId="4" xfId="0" applyNumberFormat="1" applyFont="1" applyBorder="1" applyAlignment="1">
      <alignment horizontal="center"/>
    </xf>
    <xf numFmtId="178" fontId="35" fillId="0" borderId="49" xfId="0" applyNumberFormat="1" applyFont="1" applyBorder="1"/>
    <xf numFmtId="1" fontId="1" fillId="0" borderId="0" xfId="0" applyNumberFormat="1" applyFont="1" applyAlignment="1">
      <alignment horizontal="center"/>
    </xf>
    <xf numFmtId="178" fontId="12" fillId="0" borderId="49" xfId="0" applyNumberFormat="1" applyFont="1" applyBorder="1"/>
    <xf numFmtId="0" fontId="70" fillId="0" borderId="48" xfId="0" applyFont="1" applyBorder="1" applyAlignment="1">
      <alignment wrapText="1"/>
    </xf>
    <xf numFmtId="2" fontId="12" fillId="0" borderId="4" xfId="0" applyNumberFormat="1" applyFont="1" applyBorder="1" applyAlignment="1">
      <alignment horizontal="center"/>
    </xf>
    <xf numFmtId="2" fontId="1" fillId="0" borderId="4" xfId="0" applyNumberFormat="1" applyFont="1" applyBorder="1"/>
    <xf numFmtId="179" fontId="1" fillId="0" borderId="23" xfId="0" applyNumberFormat="1" applyFont="1" applyBorder="1" applyAlignment="1">
      <alignment horizontal="center"/>
    </xf>
    <xf numFmtId="178" fontId="12" fillId="0" borderId="76" xfId="0" applyNumberFormat="1" applyFont="1" applyBorder="1"/>
    <xf numFmtId="0" fontId="1" fillId="0" borderId="48" xfId="0" applyFont="1" applyBorder="1"/>
    <xf numFmtId="0" fontId="1" fillId="0" borderId="4" xfId="0" applyFont="1" applyBorder="1"/>
    <xf numFmtId="0" fontId="49" fillId="0" borderId="101" xfId="0" applyFont="1" applyBorder="1"/>
    <xf numFmtId="43" fontId="12" fillId="0" borderId="112" xfId="0" applyNumberFormat="1" applyFont="1" applyBorder="1"/>
    <xf numFmtId="178" fontId="49" fillId="0" borderId="167" xfId="0" applyNumberFormat="1" applyFont="1" applyBorder="1"/>
    <xf numFmtId="0" fontId="12" fillId="0" borderId="168" xfId="0" applyFont="1" applyBorder="1"/>
    <xf numFmtId="0" fontId="12" fillId="0" borderId="169" xfId="0" applyFont="1" applyBorder="1"/>
    <xf numFmtId="0" fontId="15" fillId="0" borderId="53" xfId="0" applyFont="1" applyBorder="1"/>
    <xf numFmtId="0" fontId="12" fillId="0" borderId="166" xfId="0" applyFont="1" applyBorder="1"/>
    <xf numFmtId="0" fontId="48" fillId="0" borderId="46" xfId="0" applyFont="1" applyBorder="1"/>
    <xf numFmtId="176" fontId="43" fillId="0" borderId="4" xfId="0" applyNumberFormat="1" applyFont="1" applyBorder="1" applyAlignment="1">
      <alignment horizontal="center"/>
    </xf>
    <xf numFmtId="177" fontId="1" fillId="0" borderId="4" xfId="0" applyNumberFormat="1" applyFont="1" applyBorder="1"/>
    <xf numFmtId="0" fontId="14" fillId="0" borderId="4" xfId="0" applyFont="1" applyBorder="1" applyAlignment="1">
      <alignment horizontal="center"/>
    </xf>
    <xf numFmtId="178" fontId="68" fillId="0" borderId="49" xfId="0" applyNumberFormat="1" applyFont="1" applyBorder="1"/>
    <xf numFmtId="0" fontId="1" fillId="25" borderId="170" xfId="0" applyFont="1" applyFill="1" applyBorder="1"/>
    <xf numFmtId="0" fontId="42" fillId="25" borderId="170" xfId="0" applyFont="1" applyFill="1" applyBorder="1"/>
    <xf numFmtId="0" fontId="42" fillId="0" borderId="26" xfId="0" applyFont="1" applyBorder="1"/>
    <xf numFmtId="0" fontId="69" fillId="0" borderId="4" xfId="0" applyFont="1" applyBorder="1" applyAlignment="1">
      <alignment horizontal="center"/>
    </xf>
    <xf numFmtId="0" fontId="1" fillId="0" borderId="27" xfId="0" applyFont="1" applyBorder="1"/>
    <xf numFmtId="0" fontId="1" fillId="0" borderId="32" xfId="0" applyFont="1" applyBorder="1"/>
    <xf numFmtId="0" fontId="48" fillId="0" borderId="4" xfId="0" applyFont="1" applyBorder="1" applyAlignment="1">
      <alignment horizontal="center"/>
    </xf>
    <xf numFmtId="0" fontId="69" fillId="0" borderId="34" xfId="0" applyFont="1" applyBorder="1"/>
    <xf numFmtId="0" fontId="48" fillId="0" borderId="35" xfId="0" applyFont="1" applyBorder="1" applyAlignment="1">
      <alignment horizontal="center"/>
    </xf>
    <xf numFmtId="0" fontId="43" fillId="0" borderId="171" xfId="0" applyFont="1" applyBorder="1"/>
    <xf numFmtId="167" fontId="1" fillId="0" borderId="21" xfId="0" applyNumberFormat="1" applyFont="1" applyBorder="1"/>
    <xf numFmtId="167" fontId="1" fillId="2" borderId="21" xfId="0" applyNumberFormat="1" applyFont="1" applyFill="1" applyBorder="1" applyAlignment="1">
      <alignment horizontal="center"/>
    </xf>
    <xf numFmtId="176" fontId="43" fillId="0" borderId="21" xfId="0" applyNumberFormat="1" applyFont="1" applyBorder="1" applyAlignment="1">
      <alignment horizontal="center"/>
    </xf>
    <xf numFmtId="178" fontId="1" fillId="0" borderId="14" xfId="0" applyNumberFormat="1" applyFont="1" applyBorder="1" applyAlignment="1">
      <alignment horizontal="center"/>
    </xf>
    <xf numFmtId="178" fontId="12" fillId="0" borderId="172" xfId="0" applyNumberFormat="1" applyFont="1" applyBorder="1"/>
    <xf numFmtId="0" fontId="43" fillId="0" borderId="164" xfId="0" applyFont="1" applyBorder="1"/>
    <xf numFmtId="167" fontId="1" fillId="2" borderId="4" xfId="0" applyNumberFormat="1" applyFont="1" applyFill="1" applyBorder="1" applyAlignment="1">
      <alignment horizontal="center"/>
    </xf>
    <xf numFmtId="178" fontId="1" fillId="0" borderId="16" xfId="0" applyNumberFormat="1" applyFont="1" applyBorder="1" applyAlignment="1">
      <alignment horizontal="center"/>
    </xf>
    <xf numFmtId="178" fontId="12" fillId="0" borderId="67" xfId="0" applyNumberFormat="1" applyFont="1" applyBorder="1"/>
    <xf numFmtId="0" fontId="43" fillId="0" borderId="164" xfId="0" applyFont="1" applyBorder="1" applyAlignment="1">
      <alignment wrapText="1"/>
    </xf>
    <xf numFmtId="4" fontId="1" fillId="0" borderId="16" xfId="0" applyNumberFormat="1" applyFont="1" applyBorder="1" applyAlignment="1">
      <alignment horizontal="center"/>
    </xf>
    <xf numFmtId="4" fontId="12" fillId="0" borderId="67" xfId="0" applyNumberFormat="1" applyFont="1" applyBorder="1"/>
    <xf numFmtId="0" fontId="19" fillId="0" borderId="164" xfId="0" applyFont="1" applyBorder="1"/>
    <xf numFmtId="0" fontId="1" fillId="0" borderId="164" xfId="0" applyFont="1" applyBorder="1"/>
    <xf numFmtId="0" fontId="1" fillId="0" borderId="16" xfId="0" applyFont="1" applyBorder="1"/>
    <xf numFmtId="0" fontId="14" fillId="0" borderId="16" xfId="0" applyFont="1" applyBorder="1" applyAlignment="1">
      <alignment horizontal="center"/>
    </xf>
    <xf numFmtId="178" fontId="68" fillId="0" borderId="67" xfId="0" applyNumberFormat="1" applyFont="1" applyBorder="1"/>
    <xf numFmtId="0" fontId="1" fillId="0" borderId="37" xfId="0" applyFont="1" applyBorder="1"/>
    <xf numFmtId="0" fontId="1" fillId="0" borderId="38" xfId="0" applyFont="1" applyBorder="1"/>
    <xf numFmtId="0" fontId="1" fillId="0" borderId="39" xfId="0" applyFont="1" applyBorder="1"/>
    <xf numFmtId="0" fontId="1" fillId="8" borderId="36" xfId="0" applyFont="1" applyFill="1" applyBorder="1"/>
    <xf numFmtId="0" fontId="69" fillId="0" borderId="28" xfId="0" applyFont="1" applyBorder="1" applyAlignment="1">
      <alignment horizontal="center"/>
    </xf>
    <xf numFmtId="0" fontId="49" fillId="0" borderId="58" xfId="0" applyFont="1" applyBorder="1" applyAlignment="1">
      <alignment horizontal="center"/>
    </xf>
    <xf numFmtId="0" fontId="49" fillId="0" borderId="42" xfId="0" applyFont="1" applyBorder="1" applyAlignment="1">
      <alignment horizontal="center"/>
    </xf>
    <xf numFmtId="0" fontId="49" fillId="0" borderId="43" xfId="0" applyFont="1" applyBorder="1" applyAlignment="1">
      <alignment horizontal="center"/>
    </xf>
    <xf numFmtId="0" fontId="49" fillId="0" borderId="0" xfId="0" applyFont="1" applyAlignment="1">
      <alignment horizontal="center"/>
    </xf>
    <xf numFmtId="0" fontId="48" fillId="0" borderId="60" xfId="0" applyFont="1" applyBorder="1" applyAlignment="1">
      <alignment horizontal="center"/>
    </xf>
    <xf numFmtId="0" fontId="48" fillId="0" borderId="13" xfId="0" applyFont="1" applyBorder="1" applyAlignment="1">
      <alignment horizontal="center"/>
    </xf>
    <xf numFmtId="0" fontId="48" fillId="0" borderId="61" xfId="0" applyFont="1" applyBorder="1" applyAlignment="1">
      <alignment horizontal="center"/>
    </xf>
    <xf numFmtId="0" fontId="69" fillId="0" borderId="20" xfId="0" applyFont="1" applyBorder="1" applyAlignment="1">
      <alignment horizontal="center"/>
    </xf>
    <xf numFmtId="0" fontId="48" fillId="0" borderId="25" xfId="0" applyFont="1" applyBorder="1" applyAlignment="1">
      <alignment horizontal="center"/>
    </xf>
    <xf numFmtId="167" fontId="1" fillId="0" borderId="24" xfId="0" applyNumberFormat="1" applyFont="1" applyBorder="1"/>
    <xf numFmtId="178" fontId="43" fillId="0" borderId="24" xfId="0" applyNumberFormat="1" applyFont="1" applyBorder="1" applyAlignment="1">
      <alignment horizontal="center"/>
    </xf>
    <xf numFmtId="178" fontId="1" fillId="0" borderId="11" xfId="0" applyNumberFormat="1" applyFont="1" applyBorder="1" applyAlignment="1">
      <alignment horizontal="center"/>
    </xf>
    <xf numFmtId="178" fontId="1" fillId="0" borderId="24" xfId="0" applyNumberFormat="1" applyFont="1" applyBorder="1"/>
    <xf numFmtId="167" fontId="1" fillId="0" borderId="0" xfId="0" applyNumberFormat="1" applyFont="1"/>
    <xf numFmtId="167" fontId="1" fillId="2" borderId="0" xfId="0" applyNumberFormat="1" applyFont="1" applyFill="1" applyAlignment="1">
      <alignment horizontal="center"/>
    </xf>
    <xf numFmtId="178" fontId="43" fillId="0" borderId="0" xfId="0" applyNumberFormat="1" applyFont="1" applyAlignment="1">
      <alignment horizontal="center"/>
    </xf>
    <xf numFmtId="178" fontId="1" fillId="0" borderId="0" xfId="0" applyNumberFormat="1" applyFont="1" applyAlignment="1">
      <alignment horizontal="center"/>
    </xf>
    <xf numFmtId="178" fontId="1" fillId="0" borderId="0" xfId="0" applyNumberFormat="1" applyFont="1"/>
    <xf numFmtId="178" fontId="12" fillId="0" borderId="0" xfId="0" applyNumberFormat="1" applyFont="1"/>
    <xf numFmtId="178" fontId="43" fillId="0" borderId="4" xfId="0" applyNumberFormat="1" applyFont="1" applyBorder="1" applyAlignment="1">
      <alignment horizontal="center"/>
    </xf>
    <xf numFmtId="178" fontId="1" fillId="0" borderId="4" xfId="0" applyNumberFormat="1" applyFont="1" applyBorder="1"/>
    <xf numFmtId="0" fontId="43" fillId="0" borderId="0" xfId="0" applyFont="1" applyAlignment="1">
      <alignment wrapText="1"/>
    </xf>
    <xf numFmtId="178" fontId="12" fillId="0" borderId="165" xfId="0" applyNumberFormat="1" applyFont="1" applyBorder="1"/>
    <xf numFmtId="178" fontId="1" fillId="0" borderId="16" xfId="0" applyNumberFormat="1" applyFont="1" applyBorder="1"/>
    <xf numFmtId="178" fontId="76" fillId="15" borderId="83" xfId="0" applyNumberFormat="1" applyFont="1" applyFill="1" applyBorder="1" applyAlignment="1">
      <alignment horizontal="center"/>
    </xf>
    <xf numFmtId="178" fontId="77" fillId="15" borderId="84" xfId="0" applyNumberFormat="1" applyFont="1" applyFill="1" applyBorder="1"/>
    <xf numFmtId="178" fontId="14" fillId="0" borderId="0" xfId="0" applyNumberFormat="1" applyFont="1" applyAlignment="1">
      <alignment horizontal="center"/>
    </xf>
    <xf numFmtId="0" fontId="33" fillId="14" borderId="83" xfId="0" applyFont="1" applyFill="1" applyBorder="1"/>
    <xf numFmtId="9" fontId="12" fillId="0" borderId="0" xfId="0" applyNumberFormat="1" applyFont="1"/>
    <xf numFmtId="10" fontId="12" fillId="0" borderId="0" xfId="0" applyNumberFormat="1" applyFont="1"/>
    <xf numFmtId="0" fontId="66" fillId="0" borderId="0" xfId="0" applyFont="1"/>
    <xf numFmtId="178" fontId="34" fillId="0" borderId="0" xfId="0" applyNumberFormat="1" applyFont="1"/>
    <xf numFmtId="0" fontId="48" fillId="0" borderId="173" xfId="0" applyFont="1" applyBorder="1" applyAlignment="1">
      <alignment horizontal="center"/>
    </xf>
    <xf numFmtId="0" fontId="48" fillId="0" borderId="174" xfId="0" applyFont="1" applyBorder="1" applyAlignment="1">
      <alignment horizontal="center"/>
    </xf>
    <xf numFmtId="0" fontId="12" fillId="0" borderId="174" xfId="0" applyFont="1" applyBorder="1"/>
    <xf numFmtId="0" fontId="48" fillId="0" borderId="174" xfId="0" applyFont="1" applyBorder="1" applyAlignment="1">
      <alignment horizontal="center" wrapText="1"/>
    </xf>
    <xf numFmtId="0" fontId="48" fillId="0" borderId="0" xfId="0" applyFont="1"/>
    <xf numFmtId="0" fontId="48" fillId="0" borderId="175" xfId="0" applyFont="1" applyBorder="1" applyAlignment="1">
      <alignment horizontal="center"/>
    </xf>
    <xf numFmtId="0" fontId="12" fillId="0" borderId="175" xfId="0" applyFont="1" applyBorder="1"/>
    <xf numFmtId="0" fontId="12" fillId="0" borderId="176" xfId="0" applyFont="1" applyBorder="1"/>
    <xf numFmtId="167" fontId="9" fillId="6" borderId="175" xfId="0" applyNumberFormat="1" applyFont="1" applyFill="1" applyBorder="1"/>
    <xf numFmtId="178" fontId="12" fillId="14" borderId="176" xfId="0" applyNumberFormat="1" applyFont="1" applyFill="1" applyBorder="1"/>
    <xf numFmtId="0" fontId="12" fillId="0" borderId="177" xfId="0" applyFont="1" applyBorder="1"/>
    <xf numFmtId="0" fontId="12" fillId="0" borderId="178" xfId="0" applyFont="1" applyBorder="1"/>
    <xf numFmtId="0" fontId="12" fillId="0" borderId="179" xfId="0" applyFont="1" applyBorder="1"/>
    <xf numFmtId="0" fontId="12" fillId="0" borderId="72" xfId="0" applyFont="1" applyBorder="1"/>
    <xf numFmtId="0" fontId="12" fillId="0" borderId="74" xfId="0" applyFont="1" applyBorder="1"/>
    <xf numFmtId="0" fontId="33" fillId="14" borderId="48" xfId="0" applyFont="1" applyFill="1" applyBorder="1"/>
    <xf numFmtId="0" fontId="33" fillId="0" borderId="49" xfId="0" applyFont="1" applyBorder="1"/>
    <xf numFmtId="0" fontId="68" fillId="0" borderId="49" xfId="0" applyFont="1" applyBorder="1" applyAlignment="1">
      <alignment horizontal="center"/>
    </xf>
    <xf numFmtId="0" fontId="12" fillId="0" borderId="49" xfId="0" applyFont="1" applyBorder="1" applyAlignment="1">
      <alignment horizontal="center"/>
    </xf>
    <xf numFmtId="167" fontId="33" fillId="0" borderId="49" xfId="0" applyNumberFormat="1" applyFont="1" applyBorder="1" applyAlignment="1">
      <alignment horizontal="center"/>
    </xf>
    <xf numFmtId="0" fontId="31" fillId="0" borderId="48" xfId="0" applyFont="1" applyBorder="1"/>
    <xf numFmtId="167" fontId="35" fillId="0" borderId="49" xfId="0" applyNumberFormat="1" applyFont="1" applyBorder="1" applyAlignment="1">
      <alignment horizontal="center"/>
    </xf>
    <xf numFmtId="167" fontId="66" fillId="0" borderId="0" xfId="0" applyNumberFormat="1" applyFont="1"/>
    <xf numFmtId="0" fontId="35" fillId="0" borderId="49" xfId="0" applyFont="1" applyBorder="1" applyAlignment="1">
      <alignment horizontal="center"/>
    </xf>
    <xf numFmtId="9" fontId="12" fillId="0" borderId="49" xfId="0" applyNumberFormat="1" applyFont="1" applyBorder="1" applyAlignment="1">
      <alignment horizontal="center"/>
    </xf>
    <xf numFmtId="167" fontId="12" fillId="0" borderId="49" xfId="0" applyNumberFormat="1" applyFont="1" applyBorder="1" applyAlignment="1">
      <alignment horizontal="center"/>
    </xf>
    <xf numFmtId="2" fontId="12" fillId="0" borderId="49" xfId="0" applyNumberFormat="1" applyFont="1" applyBorder="1" applyAlignment="1">
      <alignment horizontal="center"/>
    </xf>
    <xf numFmtId="10" fontId="12" fillId="0" borderId="49" xfId="0" applyNumberFormat="1" applyFont="1" applyBorder="1" applyAlignment="1">
      <alignment horizontal="center"/>
    </xf>
    <xf numFmtId="0" fontId="66" fillId="0" borderId="48" xfId="0" applyFont="1" applyBorder="1"/>
    <xf numFmtId="178" fontId="34" fillId="0" borderId="49" xfId="0" applyNumberFormat="1" applyFont="1" applyBorder="1" applyAlignment="1">
      <alignment horizontal="center"/>
    </xf>
    <xf numFmtId="0" fontId="78" fillId="0" borderId="0" xfId="0" applyFont="1" applyAlignment="1">
      <alignment wrapText="1"/>
    </xf>
    <xf numFmtId="0" fontId="12" fillId="0" borderId="0" xfId="0" applyFont="1" applyAlignment="1">
      <alignment wrapText="1"/>
    </xf>
    <xf numFmtId="0" fontId="12" fillId="0" borderId="0" xfId="0" applyFont="1" applyAlignment="1">
      <alignment horizontal="left" wrapText="1"/>
    </xf>
    <xf numFmtId="0" fontId="79" fillId="0" borderId="173" xfId="0" applyFont="1" applyBorder="1"/>
    <xf numFmtId="0" fontId="79" fillId="0" borderId="174" xfId="0" applyFont="1" applyBorder="1"/>
    <xf numFmtId="0" fontId="80" fillId="0" borderId="174" xfId="0" applyFont="1" applyBorder="1" applyAlignment="1">
      <alignment horizontal="center"/>
    </xf>
    <xf numFmtId="0" fontId="80" fillId="0" borderId="180" xfId="0" applyFont="1" applyBorder="1" applyAlignment="1">
      <alignment horizontal="center"/>
    </xf>
    <xf numFmtId="0" fontId="80" fillId="0" borderId="175" xfId="0" applyFont="1" applyBorder="1"/>
    <xf numFmtId="0" fontId="79" fillId="0" borderId="4" xfId="0" applyFont="1" applyBorder="1"/>
    <xf numFmtId="0" fontId="80" fillId="0" borderId="4" xfId="0" applyFont="1" applyBorder="1" applyAlignment="1">
      <alignment horizontal="center"/>
    </xf>
    <xf numFmtId="0" fontId="80" fillId="0" borderId="176" xfId="0" applyFont="1" applyBorder="1" applyAlignment="1">
      <alignment horizontal="center"/>
    </xf>
    <xf numFmtId="0" fontId="80" fillId="0" borderId="4" xfId="0" applyFont="1" applyBorder="1"/>
    <xf numFmtId="0" fontId="79" fillId="0" borderId="176" xfId="0" applyFont="1" applyBorder="1"/>
    <xf numFmtId="0" fontId="79" fillId="0" borderId="175" xfId="0" applyFont="1" applyBorder="1" applyAlignment="1">
      <alignment horizontal="center"/>
    </xf>
    <xf numFmtId="0" fontId="79" fillId="0" borderId="4" xfId="0" applyFont="1" applyBorder="1" applyAlignment="1">
      <alignment horizontal="center"/>
    </xf>
    <xf numFmtId="9" fontId="79" fillId="0" borderId="4" xfId="0" applyNumberFormat="1" applyFont="1" applyBorder="1"/>
    <xf numFmtId="0" fontId="80" fillId="0" borderId="175" xfId="0" applyFont="1" applyBorder="1" applyAlignment="1">
      <alignment horizontal="center"/>
    </xf>
    <xf numFmtId="0" fontId="79" fillId="0" borderId="4" xfId="0" applyFont="1" applyBorder="1" applyAlignment="1">
      <alignment horizontal="left"/>
    </xf>
    <xf numFmtId="167" fontId="79" fillId="6" borderId="4" xfId="0" applyNumberFormat="1" applyFont="1" applyFill="1" applyBorder="1"/>
    <xf numFmtId="169" fontId="79" fillId="0" borderId="4" xfId="0" applyNumberFormat="1" applyFont="1" applyBorder="1"/>
    <xf numFmtId="167" fontId="79" fillId="0" borderId="4" xfId="0" applyNumberFormat="1" applyFont="1" applyBorder="1"/>
    <xf numFmtId="167" fontId="79" fillId="0" borderId="176" xfId="0" applyNumberFormat="1" applyFont="1" applyBorder="1"/>
    <xf numFmtId="167" fontId="9" fillId="0" borderId="0" xfId="0" applyNumberFormat="1" applyFont="1"/>
    <xf numFmtId="0" fontId="81" fillId="0" borderId="175" xfId="0" applyFont="1" applyBorder="1" applyAlignment="1">
      <alignment horizontal="center"/>
    </xf>
    <xf numFmtId="43" fontId="79" fillId="0" borderId="4" xfId="0" applyNumberFormat="1" applyFont="1" applyBorder="1"/>
    <xf numFmtId="186" fontId="79" fillId="0" borderId="176" xfId="0" applyNumberFormat="1" applyFont="1" applyBorder="1" applyAlignment="1">
      <alignment horizontal="center"/>
    </xf>
    <xf numFmtId="0" fontId="79" fillId="0" borderId="177" xfId="0" applyFont="1" applyBorder="1" applyAlignment="1">
      <alignment horizontal="center"/>
    </xf>
    <xf numFmtId="0" fontId="79" fillId="0" borderId="178" xfId="0" applyFont="1" applyBorder="1" applyAlignment="1">
      <alignment horizontal="center"/>
    </xf>
    <xf numFmtId="0" fontId="79" fillId="0" borderId="178" xfId="0" applyFont="1" applyBorder="1"/>
    <xf numFmtId="9" fontId="79" fillId="0" borderId="178" xfId="0" applyNumberFormat="1" applyFont="1" applyBorder="1"/>
    <xf numFmtId="0" fontId="79" fillId="0" borderId="179" xfId="0" applyFont="1" applyBorder="1"/>
    <xf numFmtId="0" fontId="33" fillId="30" borderId="36" xfId="0" applyFont="1" applyFill="1" applyBorder="1"/>
    <xf numFmtId="0" fontId="12" fillId="30" borderId="36" xfId="0" applyFont="1" applyFill="1" applyBorder="1"/>
    <xf numFmtId="0" fontId="12" fillId="7" borderId="36" xfId="0" applyFont="1" applyFill="1" applyBorder="1"/>
    <xf numFmtId="0" fontId="12" fillId="0" borderId="54" xfId="0" applyFont="1" applyBorder="1"/>
    <xf numFmtId="0" fontId="12" fillId="30" borderId="181" xfId="0" applyFont="1" applyFill="1" applyBorder="1"/>
    <xf numFmtId="0" fontId="12" fillId="7" borderId="181" xfId="0" applyFont="1" applyFill="1" applyBorder="1"/>
    <xf numFmtId="0" fontId="12" fillId="0" borderId="55" xfId="0" applyFont="1" applyBorder="1"/>
    <xf numFmtId="0" fontId="12" fillId="0" borderId="46" xfId="0" applyFont="1" applyBorder="1"/>
    <xf numFmtId="0" fontId="12" fillId="0" borderId="21" xfId="0" applyFont="1" applyBorder="1"/>
    <xf numFmtId="0" fontId="12" fillId="30" borderId="136" xfId="0" applyFont="1" applyFill="1" applyBorder="1"/>
    <xf numFmtId="0" fontId="12" fillId="7" borderId="136" xfId="0" applyFont="1" applyFill="1" applyBorder="1"/>
    <xf numFmtId="0" fontId="12" fillId="0" borderId="78" xfId="0" applyFont="1" applyBorder="1"/>
    <xf numFmtId="0" fontId="12" fillId="0" borderId="79" xfId="0" applyFont="1" applyBorder="1"/>
    <xf numFmtId="167" fontId="12" fillId="30" borderId="36" xfId="0" applyNumberFormat="1" applyFont="1" applyFill="1" applyBorder="1"/>
    <xf numFmtId="167" fontId="12" fillId="7" borderId="36" xfId="0" applyNumberFormat="1" applyFont="1" applyFill="1" applyBorder="1"/>
    <xf numFmtId="178" fontId="12" fillId="0" borderId="33" xfId="0" applyNumberFormat="1" applyFont="1" applyBorder="1"/>
    <xf numFmtId="167" fontId="33" fillId="0" borderId="38" xfId="0" applyNumberFormat="1" applyFont="1" applyBorder="1"/>
    <xf numFmtId="188" fontId="33" fillId="14" borderId="182" xfId="0" applyNumberFormat="1" applyFont="1" applyFill="1" applyBorder="1"/>
    <xf numFmtId="188" fontId="12" fillId="0" borderId="0" xfId="0" applyNumberFormat="1" applyFont="1"/>
    <xf numFmtId="0" fontId="82" fillId="0" borderId="4" xfId="0" applyFont="1" applyBorder="1"/>
    <xf numFmtId="0" fontId="6" fillId="0" borderId="4" xfId="0" applyFont="1" applyBorder="1" applyAlignment="1">
      <alignment vertical="top"/>
    </xf>
    <xf numFmtId="0" fontId="6" fillId="31" borderId="36" xfId="0" applyFont="1" applyFill="1" applyBorder="1"/>
    <xf numFmtId="0" fontId="6" fillId="8" borderId="36" xfId="0" applyFont="1" applyFill="1" applyBorder="1"/>
    <xf numFmtId="0" fontId="22" fillId="0" borderId="72" xfId="0" applyFont="1" applyBorder="1" applyAlignment="1">
      <alignment horizontal="center"/>
    </xf>
    <xf numFmtId="0" fontId="22" fillId="0" borderId="73" xfId="0" applyFont="1" applyBorder="1" applyAlignment="1">
      <alignment horizontal="center"/>
    </xf>
    <xf numFmtId="0" fontId="22" fillId="0" borderId="73" xfId="0" applyFont="1" applyBorder="1" applyAlignment="1">
      <alignment horizontal="center" wrapText="1"/>
    </xf>
    <xf numFmtId="49" fontId="22" fillId="0" borderId="73" xfId="0" applyNumberFormat="1" applyFont="1" applyBorder="1" applyAlignment="1">
      <alignment horizontal="center" wrapText="1"/>
    </xf>
    <xf numFmtId="0" fontId="22" fillId="0" borderId="74" xfId="0" applyFont="1" applyBorder="1" applyAlignment="1">
      <alignment horizontal="center" wrapText="1"/>
    </xf>
    <xf numFmtId="49" fontId="12" fillId="0" borderId="4" xfId="0" applyNumberFormat="1" applyFont="1" applyBorder="1"/>
    <xf numFmtId="49" fontId="12" fillId="0" borderId="4" xfId="0" applyNumberFormat="1" applyFont="1" applyBorder="1" applyAlignment="1">
      <alignment horizontal="center"/>
    </xf>
    <xf numFmtId="0" fontId="68" fillId="0" borderId="48" xfId="0" applyFont="1" applyBorder="1"/>
    <xf numFmtId="0" fontId="12" fillId="31" borderId="4" xfId="0" applyFont="1" applyFill="1" applyBorder="1"/>
    <xf numFmtId="170" fontId="12" fillId="31" borderId="4" xfId="0" applyNumberFormat="1" applyFont="1" applyFill="1" applyBorder="1" applyAlignment="1">
      <alignment horizontal="right"/>
    </xf>
    <xf numFmtId="167" fontId="12" fillId="31" borderId="4" xfId="0" applyNumberFormat="1" applyFont="1" applyFill="1" applyBorder="1" applyAlignment="1">
      <alignment horizontal="right"/>
    </xf>
    <xf numFmtId="3" fontId="12" fillId="31" borderId="4" xfId="0" applyNumberFormat="1" applyFont="1" applyFill="1" applyBorder="1" applyAlignment="1">
      <alignment horizontal="center"/>
    </xf>
    <xf numFmtId="0" fontId="12" fillId="31" borderId="4" xfId="0" applyFont="1" applyFill="1" applyBorder="1" applyAlignment="1">
      <alignment horizontal="center"/>
    </xf>
    <xf numFmtId="1" fontId="12" fillId="31" borderId="4" xfId="0" applyNumberFormat="1" applyFont="1" applyFill="1" applyBorder="1" applyAlignment="1">
      <alignment horizontal="center"/>
    </xf>
    <xf numFmtId="3" fontId="12" fillId="31" borderId="4" xfId="0" applyNumberFormat="1" applyFont="1" applyFill="1" applyBorder="1" applyAlignment="1">
      <alignment horizontal="right"/>
    </xf>
    <xf numFmtId="9" fontId="12" fillId="31" borderId="4" xfId="0" applyNumberFormat="1" applyFont="1" applyFill="1" applyBorder="1" applyAlignment="1">
      <alignment horizontal="right"/>
    </xf>
    <xf numFmtId="3" fontId="12" fillId="31" borderId="49" xfId="0" applyNumberFormat="1" applyFont="1" applyFill="1" applyBorder="1" applyAlignment="1">
      <alignment horizontal="right"/>
    </xf>
    <xf numFmtId="170" fontId="12" fillId="0" borderId="4" xfId="0" applyNumberFormat="1" applyFont="1" applyBorder="1" applyAlignment="1">
      <alignment horizontal="right"/>
    </xf>
    <xf numFmtId="167" fontId="12" fillId="0" borderId="4" xfId="0" applyNumberFormat="1" applyFont="1" applyBorder="1" applyAlignment="1">
      <alignment horizontal="right"/>
    </xf>
    <xf numFmtId="3" fontId="12" fillId="0" borderId="4" xfId="0" applyNumberFormat="1" applyFont="1" applyBorder="1" applyAlignment="1">
      <alignment horizontal="center"/>
    </xf>
    <xf numFmtId="1" fontId="12" fillId="0" borderId="4" xfId="0" applyNumberFormat="1" applyFont="1" applyBorder="1" applyAlignment="1">
      <alignment horizontal="center"/>
    </xf>
    <xf numFmtId="3" fontId="12" fillId="0" borderId="4" xfId="0" applyNumberFormat="1" applyFont="1" applyBorder="1" applyAlignment="1">
      <alignment horizontal="right"/>
    </xf>
    <xf numFmtId="9" fontId="12" fillId="0" borderId="4" xfId="0" applyNumberFormat="1" applyFont="1" applyBorder="1"/>
    <xf numFmtId="9" fontId="12" fillId="0" borderId="4" xfId="0" applyNumberFormat="1" applyFont="1" applyBorder="1" applyAlignment="1">
      <alignment horizontal="right"/>
    </xf>
    <xf numFmtId="3" fontId="12" fillId="0" borderId="49" xfId="0" applyNumberFormat="1" applyFont="1" applyBorder="1" applyAlignment="1">
      <alignment horizontal="right"/>
    </xf>
    <xf numFmtId="170" fontId="12" fillId="0" borderId="4" xfId="0" applyNumberFormat="1" applyFont="1" applyBorder="1"/>
    <xf numFmtId="3" fontId="12" fillId="0" borderId="49" xfId="0" applyNumberFormat="1" applyFont="1" applyBorder="1"/>
    <xf numFmtId="10" fontId="12" fillId="31" borderId="4" xfId="0" applyNumberFormat="1" applyFont="1" applyFill="1" applyBorder="1" applyAlignment="1">
      <alignment horizontal="right"/>
    </xf>
    <xf numFmtId="170" fontId="12" fillId="31" borderId="4" xfId="0" applyNumberFormat="1" applyFont="1" applyFill="1" applyBorder="1"/>
    <xf numFmtId="167" fontId="12" fillId="31" borderId="4" xfId="0" applyNumberFormat="1" applyFont="1" applyFill="1" applyBorder="1"/>
    <xf numFmtId="0" fontId="12" fillId="2" borderId="4" xfId="0" applyFont="1" applyFill="1" applyBorder="1"/>
    <xf numFmtId="170" fontId="12" fillId="2" borderId="4" xfId="0" applyNumberFormat="1" applyFont="1" applyFill="1" applyBorder="1" applyAlignment="1">
      <alignment horizontal="right"/>
    </xf>
    <xf numFmtId="1" fontId="12" fillId="2" borderId="4" xfId="0" applyNumberFormat="1" applyFont="1" applyFill="1" applyBorder="1" applyAlignment="1">
      <alignment horizontal="center"/>
    </xf>
    <xf numFmtId="3" fontId="12" fillId="2" borderId="4" xfId="0" applyNumberFormat="1" applyFont="1" applyFill="1" applyBorder="1" applyAlignment="1">
      <alignment horizontal="right"/>
    </xf>
    <xf numFmtId="9" fontId="12" fillId="2" borderId="4" xfId="0" applyNumberFormat="1" applyFont="1" applyFill="1" applyBorder="1"/>
    <xf numFmtId="3" fontId="12" fillId="2" borderId="4" xfId="0" applyNumberFormat="1" applyFont="1" applyFill="1" applyBorder="1"/>
    <xf numFmtId="9" fontId="12" fillId="2" borderId="4" xfId="0" applyNumberFormat="1" applyFont="1" applyFill="1" applyBorder="1" applyAlignment="1">
      <alignment horizontal="right"/>
    </xf>
    <xf numFmtId="3" fontId="12" fillId="2" borderId="49" xfId="0" applyNumberFormat="1" applyFont="1" applyFill="1" applyBorder="1" applyAlignment="1">
      <alignment horizontal="right"/>
    </xf>
    <xf numFmtId="0" fontId="12" fillId="8" borderId="4" xfId="0" applyFont="1" applyFill="1" applyBorder="1"/>
    <xf numFmtId="170" fontId="12" fillId="8" borderId="4" xfId="0" applyNumberFormat="1" applyFont="1" applyFill="1" applyBorder="1"/>
    <xf numFmtId="167" fontId="12" fillId="8" borderId="4" xfId="0" applyNumberFormat="1" applyFont="1" applyFill="1" applyBorder="1"/>
    <xf numFmtId="3" fontId="12" fillId="8" borderId="4" xfId="0" applyNumberFormat="1" applyFont="1" applyFill="1" applyBorder="1" applyAlignment="1">
      <alignment horizontal="center"/>
    </xf>
    <xf numFmtId="0" fontId="12" fillId="8" borderId="4" xfId="0" applyFont="1" applyFill="1" applyBorder="1" applyAlignment="1">
      <alignment horizontal="center"/>
    </xf>
    <xf numFmtId="1" fontId="12" fillId="8" borderId="4" xfId="0" applyNumberFormat="1" applyFont="1" applyFill="1" applyBorder="1" applyAlignment="1">
      <alignment horizontal="center"/>
    </xf>
    <xf numFmtId="3" fontId="12" fillId="8" borderId="4" xfId="0" applyNumberFormat="1" applyFont="1" applyFill="1" applyBorder="1" applyAlignment="1">
      <alignment horizontal="right"/>
    </xf>
    <xf numFmtId="9" fontId="12" fillId="8" borderId="4" xfId="0" applyNumberFormat="1" applyFont="1" applyFill="1" applyBorder="1" applyAlignment="1">
      <alignment horizontal="right"/>
    </xf>
    <xf numFmtId="3" fontId="12" fillId="8" borderId="49" xfId="0" applyNumberFormat="1" applyFont="1" applyFill="1" applyBorder="1" applyAlignment="1">
      <alignment horizontal="right"/>
    </xf>
    <xf numFmtId="170" fontId="12" fillId="8" borderId="4" xfId="0" applyNumberFormat="1" applyFont="1" applyFill="1" applyBorder="1" applyAlignment="1">
      <alignment horizontal="right"/>
    </xf>
    <xf numFmtId="167" fontId="12" fillId="8" borderId="4" xfId="0" applyNumberFormat="1" applyFont="1" applyFill="1" applyBorder="1" applyAlignment="1">
      <alignment horizontal="right"/>
    </xf>
    <xf numFmtId="0" fontId="6" fillId="0" borderId="50" xfId="0" applyFont="1" applyBorder="1"/>
    <xf numFmtId="0" fontId="6" fillId="0" borderId="51" xfId="0" applyFont="1" applyBorder="1"/>
    <xf numFmtId="167" fontId="6" fillId="0" borderId="51" xfId="0" applyNumberFormat="1" applyFont="1" applyBorder="1"/>
    <xf numFmtId="0" fontId="6" fillId="0" borderId="51" xfId="0" applyFont="1" applyBorder="1" applyAlignment="1">
      <alignment horizontal="center"/>
    </xf>
    <xf numFmtId="3" fontId="68" fillId="0" borderId="51" xfId="0" applyNumberFormat="1" applyFont="1" applyBorder="1" applyAlignment="1">
      <alignment horizontal="right"/>
    </xf>
    <xf numFmtId="3" fontId="6" fillId="0" borderId="51" xfId="0" applyNumberFormat="1" applyFont="1" applyBorder="1"/>
    <xf numFmtId="3" fontId="6" fillId="0" borderId="52" xfId="0" applyNumberFormat="1" applyFont="1" applyBorder="1"/>
    <xf numFmtId="43" fontId="6" fillId="0" borderId="0" xfId="0" applyNumberFormat="1" applyFont="1"/>
    <xf numFmtId="4" fontId="6" fillId="0" borderId="0" xfId="0" applyNumberFormat="1" applyFont="1"/>
    <xf numFmtId="2" fontId="6" fillId="0" borderId="0" xfId="0" applyNumberFormat="1" applyFont="1"/>
    <xf numFmtId="167" fontId="6" fillId="0" borderId="0" xfId="0" applyNumberFormat="1" applyFont="1"/>
    <xf numFmtId="189" fontId="6" fillId="0" borderId="0" xfId="0" applyNumberFormat="1" applyFont="1"/>
    <xf numFmtId="11" fontId="6" fillId="0" borderId="0" xfId="0" applyNumberFormat="1" applyFont="1"/>
    <xf numFmtId="3" fontId="33" fillId="0" borderId="4" xfId="0" applyNumberFormat="1" applyFont="1" applyBorder="1" applyAlignment="1">
      <alignment horizontal="right"/>
    </xf>
    <xf numFmtId="3" fontId="33" fillId="31" borderId="4" xfId="0" applyNumberFormat="1" applyFont="1" applyFill="1" applyBorder="1" applyAlignment="1">
      <alignment horizontal="right"/>
    </xf>
    <xf numFmtId="3" fontId="33" fillId="8" borderId="4" xfId="0" applyNumberFormat="1" applyFont="1" applyFill="1" applyBorder="1" applyAlignment="1">
      <alignment horizontal="right"/>
    </xf>
    <xf numFmtId="167" fontId="35" fillId="0" borderId="4" xfId="0" applyNumberFormat="1" applyFont="1" applyBorder="1" applyAlignment="1">
      <alignment horizontal="right"/>
    </xf>
    <xf numFmtId="167" fontId="35" fillId="30" borderId="4" xfId="0" applyNumberFormat="1" applyFont="1" applyFill="1" applyBorder="1" applyAlignment="1">
      <alignment horizontal="right"/>
    </xf>
    <xf numFmtId="3" fontId="36" fillId="31" borderId="4" xfId="0" applyNumberFormat="1" applyFont="1" applyFill="1" applyBorder="1"/>
    <xf numFmtId="3" fontId="35" fillId="31" borderId="4" xfId="0" applyNumberFormat="1" applyFont="1" applyFill="1" applyBorder="1"/>
    <xf numFmtId="167" fontId="35" fillId="31" borderId="4" xfId="0" applyNumberFormat="1" applyFont="1" applyFill="1" applyBorder="1" applyAlignment="1">
      <alignment horizontal="right"/>
    </xf>
    <xf numFmtId="167" fontId="35" fillId="8" borderId="4" xfId="0" applyNumberFormat="1" applyFont="1" applyFill="1" applyBorder="1" applyAlignment="1">
      <alignment horizontal="right"/>
    </xf>
    <xf numFmtId="167" fontId="35" fillId="6" borderId="4" xfId="0" applyNumberFormat="1" applyFont="1" applyFill="1" applyBorder="1" applyAlignment="1">
      <alignment horizontal="right"/>
    </xf>
    <xf numFmtId="4" fontId="35" fillId="0" borderId="4" xfId="0" applyNumberFormat="1" applyFont="1" applyBorder="1"/>
    <xf numFmtId="167" fontId="35" fillId="32" borderId="4" xfId="0" applyNumberFormat="1" applyFont="1" applyFill="1" applyBorder="1" applyAlignment="1">
      <alignment horizontal="right"/>
    </xf>
    <xf numFmtId="167" fontId="33" fillId="20" borderId="4" xfId="0" applyNumberFormat="1" applyFont="1" applyFill="1" applyBorder="1" applyAlignment="1">
      <alignment horizontal="right"/>
    </xf>
    <xf numFmtId="3" fontId="33" fillId="33" borderId="4" xfId="0" applyNumberFormat="1" applyFont="1" applyFill="1" applyBorder="1" applyAlignment="1">
      <alignment horizontal="right"/>
    </xf>
    <xf numFmtId="0" fontId="35" fillId="0" borderId="4" xfId="0" applyFont="1" applyBorder="1" applyAlignment="1">
      <alignment horizontal="right"/>
    </xf>
    <xf numFmtId="167" fontId="35" fillId="33" borderId="4" xfId="0" applyNumberFormat="1" applyFont="1" applyFill="1" applyBorder="1" applyAlignment="1">
      <alignment horizontal="right"/>
    </xf>
    <xf numFmtId="167" fontId="33" fillId="0" borderId="4" xfId="0" applyNumberFormat="1" applyFont="1" applyBorder="1" applyAlignment="1">
      <alignment horizontal="right"/>
    </xf>
    <xf numFmtId="167" fontId="33" fillId="14" borderId="4" xfId="0" applyNumberFormat="1" applyFont="1" applyFill="1" applyBorder="1" applyAlignment="1">
      <alignment horizontal="right"/>
    </xf>
    <xf numFmtId="167" fontId="33" fillId="34" borderId="4" xfId="0" applyNumberFormat="1" applyFont="1" applyFill="1" applyBorder="1" applyAlignment="1">
      <alignment horizontal="right"/>
    </xf>
    <xf numFmtId="43" fontId="12" fillId="0" borderId="0" xfId="0" applyNumberFormat="1" applyFont="1" applyAlignment="1">
      <alignment horizontal="right"/>
    </xf>
    <xf numFmtId="167" fontId="83" fillId="0" borderId="4" xfId="0" applyNumberFormat="1" applyFont="1" applyBorder="1" applyAlignment="1">
      <alignment horizontal="right"/>
    </xf>
    <xf numFmtId="178" fontId="33" fillId="35" borderId="4" xfId="0" applyNumberFormat="1" applyFont="1" applyFill="1" applyBorder="1" applyAlignment="1">
      <alignment horizontal="right"/>
    </xf>
    <xf numFmtId="178" fontId="34" fillId="20" borderId="4" xfId="0" applyNumberFormat="1" applyFont="1" applyFill="1" applyBorder="1" applyAlignment="1">
      <alignment horizontal="right"/>
    </xf>
    <xf numFmtId="0" fontId="12" fillId="14" borderId="183" xfId="0" applyFont="1" applyFill="1" applyBorder="1"/>
    <xf numFmtId="0" fontId="12" fillId="14" borderId="184" xfId="0" applyFont="1" applyFill="1" applyBorder="1"/>
    <xf numFmtId="0" fontId="33" fillId="14" borderId="184" xfId="0" applyFont="1" applyFill="1" applyBorder="1"/>
    <xf numFmtId="189" fontId="12" fillId="0" borderId="0" xfId="0" applyNumberFormat="1" applyFont="1"/>
    <xf numFmtId="11" fontId="12" fillId="0" borderId="0" xfId="0" applyNumberFormat="1" applyFont="1"/>
    <xf numFmtId="0" fontId="33" fillId="14" borderId="36" xfId="0" applyFont="1" applyFill="1" applyBorder="1"/>
    <xf numFmtId="167" fontId="33" fillId="14" borderId="36" xfId="0" applyNumberFormat="1" applyFont="1" applyFill="1" applyBorder="1"/>
    <xf numFmtId="3" fontId="33" fillId="14" borderId="36" xfId="0" applyNumberFormat="1" applyFont="1" applyFill="1" applyBorder="1"/>
    <xf numFmtId="180" fontId="12" fillId="0" borderId="20" xfId="0" applyNumberFormat="1" applyFont="1" applyBorder="1"/>
    <xf numFmtId="0" fontId="12" fillId="0" borderId="35" xfId="0" applyFont="1" applyBorder="1"/>
    <xf numFmtId="0" fontId="33" fillId="30" borderId="110" xfId="0" applyFont="1" applyFill="1" applyBorder="1"/>
    <xf numFmtId="11" fontId="12" fillId="6" borderId="36" xfId="0" applyNumberFormat="1" applyFont="1" applyFill="1" applyBorder="1"/>
    <xf numFmtId="3" fontId="33" fillId="0" borderId="0" xfId="0" applyNumberFormat="1" applyFont="1"/>
    <xf numFmtId="0" fontId="12" fillId="14" borderId="110" xfId="0" applyFont="1" applyFill="1" applyBorder="1"/>
    <xf numFmtId="178" fontId="12" fillId="14" borderId="36" xfId="0" applyNumberFormat="1" applyFont="1" applyFill="1" applyBorder="1"/>
    <xf numFmtId="4" fontId="35" fillId="0" borderId="0" xfId="0" applyNumberFormat="1" applyFont="1"/>
    <xf numFmtId="173" fontId="35" fillId="0" borderId="0" xfId="0" applyNumberFormat="1" applyFont="1"/>
    <xf numFmtId="3" fontId="35" fillId="0" borderId="0" xfId="0" applyNumberFormat="1" applyFont="1"/>
    <xf numFmtId="4" fontId="33" fillId="0" borderId="0" xfId="0" applyNumberFormat="1" applyFont="1"/>
    <xf numFmtId="173" fontId="33" fillId="0" borderId="0" xfId="0" applyNumberFormat="1" applyFont="1"/>
    <xf numFmtId="0" fontId="33" fillId="8" borderId="110" xfId="0" applyFont="1" applyFill="1" applyBorder="1"/>
    <xf numFmtId="173" fontId="33" fillId="8" borderId="36" xfId="0" applyNumberFormat="1" applyFont="1" applyFill="1" applyBorder="1"/>
    <xf numFmtId="190" fontId="33" fillId="8" borderId="36" xfId="0" applyNumberFormat="1" applyFont="1" applyFill="1" applyBorder="1"/>
    <xf numFmtId="0" fontId="84" fillId="0" borderId="0" xfId="0" applyFont="1" applyAlignment="1">
      <alignment wrapText="1"/>
    </xf>
    <xf numFmtId="0" fontId="5" fillId="0" borderId="0" xfId="0" applyFont="1" applyAlignment="1">
      <alignment wrapText="1"/>
    </xf>
    <xf numFmtId="0" fontId="5" fillId="0" borderId="0" xfId="0" applyFont="1" applyAlignment="1">
      <alignment horizontal="left" wrapText="1"/>
    </xf>
    <xf numFmtId="0" fontId="5" fillId="0" borderId="173" xfId="0" applyFont="1" applyBorder="1"/>
    <xf numFmtId="0" fontId="5" fillId="0" borderId="174" xfId="0" applyFont="1" applyBorder="1"/>
    <xf numFmtId="0" fontId="10" fillId="0" borderId="180" xfId="0" applyFont="1" applyBorder="1" applyAlignment="1">
      <alignment horizontal="center"/>
    </xf>
    <xf numFmtId="0" fontId="10" fillId="0" borderId="175" xfId="0" applyFont="1" applyBorder="1"/>
    <xf numFmtId="0" fontId="10" fillId="0" borderId="176" xfId="0" applyFont="1" applyBorder="1" applyAlignment="1">
      <alignment horizontal="center"/>
    </xf>
    <xf numFmtId="0" fontId="10" fillId="0" borderId="4" xfId="0" applyFont="1" applyBorder="1"/>
    <xf numFmtId="0" fontId="5" fillId="0" borderId="176" xfId="0" applyFont="1" applyBorder="1"/>
    <xf numFmtId="0" fontId="5" fillId="0" borderId="175" xfId="0" applyFont="1" applyBorder="1" applyAlignment="1">
      <alignment horizontal="center"/>
    </xf>
    <xf numFmtId="0" fontId="5" fillId="0" borderId="4" xfId="0" applyFont="1" applyBorder="1" applyAlignment="1">
      <alignment horizontal="center"/>
    </xf>
    <xf numFmtId="0" fontId="10" fillId="0" borderId="175" xfId="0" applyFont="1" applyBorder="1" applyAlignment="1">
      <alignment horizontal="center"/>
    </xf>
    <xf numFmtId="0" fontId="5" fillId="0" borderId="4" xfId="0" applyFont="1" applyBorder="1" applyAlignment="1">
      <alignment horizontal="left"/>
    </xf>
    <xf numFmtId="0" fontId="5" fillId="0" borderId="177" xfId="0" applyFont="1" applyBorder="1" applyAlignment="1">
      <alignment horizontal="center"/>
    </xf>
    <xf numFmtId="0" fontId="5" fillId="0" borderId="178" xfId="0" applyFont="1" applyBorder="1" applyAlignment="1">
      <alignment horizontal="center"/>
    </xf>
    <xf numFmtId="0" fontId="5" fillId="0" borderId="179" xfId="0" applyFont="1" applyBorder="1"/>
    <xf numFmtId="0" fontId="19" fillId="0" borderId="0" xfId="0" applyFont="1" applyAlignment="1">
      <alignment horizontal="center"/>
    </xf>
    <xf numFmtId="167" fontId="14" fillId="0" borderId="0" xfId="0" applyNumberFormat="1" applyFont="1"/>
    <xf numFmtId="167" fontId="19" fillId="0" borderId="0" xfId="0" applyNumberFormat="1" applyFont="1" applyAlignment="1">
      <alignment horizontal="center"/>
    </xf>
    <xf numFmtId="171" fontId="14" fillId="0" borderId="0" xfId="0" applyNumberFormat="1" applyFont="1"/>
    <xf numFmtId="0" fontId="42" fillId="24" borderId="36" xfId="0" applyFont="1" applyFill="1" applyBorder="1"/>
    <xf numFmtId="0" fontId="19" fillId="24" borderId="36" xfId="0" applyFont="1" applyFill="1" applyBorder="1"/>
    <xf numFmtId="0" fontId="19" fillId="24" borderId="36" xfId="0" applyFont="1" applyFill="1" applyBorder="1" applyAlignment="1">
      <alignment horizontal="center"/>
    </xf>
    <xf numFmtId="0" fontId="19" fillId="0" borderId="26" xfId="0" applyFont="1" applyBorder="1"/>
    <xf numFmtId="0" fontId="14" fillId="0" borderId="28" xfId="0" applyFont="1" applyBorder="1" applyAlignment="1">
      <alignment horizontal="center"/>
    </xf>
    <xf numFmtId="0" fontId="14" fillId="0" borderId="27" xfId="0" applyFont="1" applyBorder="1" applyAlignment="1">
      <alignment horizontal="center"/>
    </xf>
    <xf numFmtId="0" fontId="19" fillId="0" borderId="32" xfId="0" applyFont="1" applyBorder="1"/>
    <xf numFmtId="0" fontId="19" fillId="0" borderId="0" xfId="0" applyFont="1" applyAlignment="1">
      <alignment horizontal="center" wrapText="1"/>
    </xf>
    <xf numFmtId="0" fontId="19" fillId="0" borderId="33" xfId="0" applyFont="1" applyBorder="1"/>
    <xf numFmtId="0" fontId="19" fillId="0" borderId="48" xfId="0" applyFont="1" applyBorder="1" applyAlignment="1">
      <alignment vertical="top" wrapText="1"/>
    </xf>
    <xf numFmtId="2" fontId="19" fillId="0" borderId="4" xfId="0" applyNumberFormat="1" applyFont="1" applyBorder="1"/>
    <xf numFmtId="171" fontId="19" fillId="0" borderId="49" xfId="0" applyNumberFormat="1" applyFont="1" applyBorder="1"/>
    <xf numFmtId="0" fontId="14" fillId="0" borderId="48" xfId="0" applyFont="1" applyBorder="1"/>
    <xf numFmtId="0" fontId="19" fillId="0" borderId="2" xfId="0" applyFont="1" applyBorder="1"/>
    <xf numFmtId="0" fontId="19" fillId="0" borderId="3" xfId="0" applyFont="1" applyBorder="1"/>
    <xf numFmtId="167" fontId="14" fillId="0" borderId="4" xfId="0" applyNumberFormat="1" applyFont="1" applyBorder="1"/>
    <xf numFmtId="171" fontId="14" fillId="0" borderId="49" xfId="0" applyNumberFormat="1" applyFont="1" applyBorder="1"/>
    <xf numFmtId="0" fontId="42" fillId="7" borderId="36" xfId="0" applyFont="1" applyFill="1" applyBorder="1"/>
    <xf numFmtId="0" fontId="19" fillId="7" borderId="36" xfId="0" applyFont="1" applyFill="1" applyBorder="1"/>
    <xf numFmtId="0" fontId="18" fillId="0" borderId="26" xfId="0" applyFont="1" applyBorder="1"/>
    <xf numFmtId="0" fontId="48" fillId="0" borderId="32" xfId="0" applyFont="1" applyBorder="1" applyAlignment="1">
      <alignment horizontal="left"/>
    </xf>
    <xf numFmtId="0" fontId="18" fillId="0" borderId="0" xfId="0" applyFont="1"/>
    <xf numFmtId="0" fontId="18" fillId="0" borderId="0" xfId="0" applyFont="1" applyAlignment="1">
      <alignment horizontal="center" wrapText="1"/>
    </xf>
    <xf numFmtId="0" fontId="85" fillId="0" borderId="0" xfId="0" applyFont="1"/>
    <xf numFmtId="0" fontId="85" fillId="0" borderId="33" xfId="0" applyFont="1" applyBorder="1"/>
    <xf numFmtId="0" fontId="86" fillId="0" borderId="0" xfId="0" applyFont="1"/>
    <xf numFmtId="0" fontId="86" fillId="0" borderId="33" xfId="0" applyFont="1" applyBorder="1"/>
    <xf numFmtId="0" fontId="18" fillId="0" borderId="48" xfId="0" applyFont="1" applyBorder="1" applyAlignment="1">
      <alignment horizontal="left" vertical="top" wrapText="1"/>
    </xf>
    <xf numFmtId="167" fontId="70" fillId="0" borderId="4" xfId="0" applyNumberFormat="1" applyFont="1" applyBorder="1"/>
    <xf numFmtId="2" fontId="18" fillId="0" borderId="4" xfId="0" applyNumberFormat="1" applyFont="1" applyBorder="1"/>
    <xf numFmtId="43" fontId="70" fillId="0" borderId="4" xfId="0" applyNumberFormat="1" applyFont="1" applyBorder="1"/>
    <xf numFmtId="177" fontId="70" fillId="0" borderId="49" xfId="0" applyNumberFormat="1" applyFont="1" applyBorder="1"/>
    <xf numFmtId="177" fontId="70" fillId="0" borderId="32" xfId="0" applyNumberFormat="1" applyFont="1" applyBorder="1"/>
    <xf numFmtId="167" fontId="70" fillId="0" borderId="0" xfId="0" applyNumberFormat="1" applyFont="1"/>
    <xf numFmtId="2" fontId="18" fillId="0" borderId="0" xfId="0" applyNumberFormat="1" applyFont="1"/>
    <xf numFmtId="177" fontId="70" fillId="0" borderId="33" xfId="0" applyNumberFormat="1" applyFont="1" applyBorder="1"/>
    <xf numFmtId="0" fontId="48" fillId="0" borderId="37" xfId="0" applyFont="1" applyBorder="1"/>
    <xf numFmtId="0" fontId="18" fillId="0" borderId="38" xfId="0" applyFont="1" applyBorder="1"/>
    <xf numFmtId="167" fontId="69" fillId="0" borderId="51" xfId="0" applyNumberFormat="1" applyFont="1" applyBorder="1"/>
    <xf numFmtId="177" fontId="69" fillId="0" borderId="52" xfId="0" applyNumberFormat="1" applyFont="1" applyBorder="1"/>
    <xf numFmtId="177" fontId="69" fillId="0" borderId="32" xfId="0" applyNumberFormat="1" applyFont="1" applyBorder="1"/>
    <xf numFmtId="0" fontId="42" fillId="6" borderId="36" xfId="0" applyFont="1" applyFill="1" applyBorder="1"/>
    <xf numFmtId="0" fontId="19" fillId="6" borderId="36" xfId="0" applyFont="1" applyFill="1" applyBorder="1" applyAlignment="1">
      <alignment horizontal="center"/>
    </xf>
    <xf numFmtId="0" fontId="19" fillId="6" borderId="36" xfId="0" applyFont="1" applyFill="1" applyBorder="1"/>
    <xf numFmtId="0" fontId="14" fillId="0" borderId="42" xfId="0" applyFont="1" applyBorder="1" applyAlignment="1">
      <alignment horizontal="center"/>
    </xf>
    <xf numFmtId="167" fontId="19" fillId="0" borderId="0" xfId="0" applyNumberFormat="1" applyFont="1"/>
    <xf numFmtId="167" fontId="19" fillId="0" borderId="33" xfId="0" applyNumberFormat="1" applyFont="1" applyBorder="1"/>
    <xf numFmtId="168" fontId="19" fillId="0" borderId="21" xfId="0" applyNumberFormat="1" applyFont="1" applyBorder="1"/>
    <xf numFmtId="169" fontId="19" fillId="0" borderId="4" xfId="0" applyNumberFormat="1" applyFont="1" applyBorder="1"/>
    <xf numFmtId="0" fontId="14" fillId="0" borderId="32" xfId="0" applyFont="1" applyBorder="1"/>
    <xf numFmtId="167" fontId="14" fillId="0" borderId="0" xfId="0" applyNumberFormat="1" applyFont="1" applyAlignment="1">
      <alignment horizontal="center"/>
    </xf>
    <xf numFmtId="0" fontId="33" fillId="0" borderId="114" xfId="0" applyFont="1" applyBorder="1" applyAlignment="1">
      <alignment horizontal="center"/>
    </xf>
    <xf numFmtId="0" fontId="33" fillId="0" borderId="103" xfId="0" applyFont="1" applyBorder="1" applyAlignment="1">
      <alignment horizontal="center"/>
    </xf>
    <xf numFmtId="0" fontId="33" fillId="0" borderId="114" xfId="0" applyFont="1" applyBorder="1"/>
    <xf numFmtId="0" fontId="33" fillId="0" borderId="104" xfId="0" applyFont="1" applyBorder="1"/>
    <xf numFmtId="0" fontId="33" fillId="0" borderId="107" xfId="0" applyFont="1" applyBorder="1" applyAlignment="1">
      <alignment horizontal="left"/>
    </xf>
    <xf numFmtId="0" fontId="12" fillId="0" borderId="13" xfId="0" applyFont="1" applyBorder="1"/>
    <xf numFmtId="0" fontId="33" fillId="0" borderId="13" xfId="0" applyFont="1" applyBorder="1"/>
    <xf numFmtId="0" fontId="12" fillId="0" borderId="19" xfId="0" applyFont="1" applyBorder="1"/>
    <xf numFmtId="0" fontId="35" fillId="0" borderId="7" xfId="0" applyFont="1" applyBorder="1"/>
    <xf numFmtId="43" fontId="35" fillId="0" borderId="83" xfId="0" applyNumberFormat="1" applyFont="1" applyBorder="1"/>
    <xf numFmtId="0" fontId="12" fillId="0" borderId="83" xfId="0" applyFont="1" applyBorder="1"/>
    <xf numFmtId="176" fontId="12" fillId="0" borderId="83" xfId="0" applyNumberFormat="1" applyFont="1" applyBorder="1"/>
    <xf numFmtId="9" fontId="12" fillId="0" borderId="185" xfId="0" applyNumberFormat="1" applyFont="1" applyBorder="1" applyAlignment="1">
      <alignment horizontal="center"/>
    </xf>
    <xf numFmtId="191" fontId="12" fillId="0" borderId="19" xfId="0" applyNumberFormat="1" applyFont="1" applyBorder="1"/>
    <xf numFmtId="192" fontId="12" fillId="0" borderId="20" xfId="0" applyNumberFormat="1" applyFont="1" applyBorder="1"/>
    <xf numFmtId="191" fontId="12" fillId="0" borderId="20" xfId="0" applyNumberFormat="1" applyFont="1" applyBorder="1"/>
    <xf numFmtId="191" fontId="33" fillId="0" borderId="25" xfId="0" applyNumberFormat="1" applyFont="1" applyBorder="1"/>
    <xf numFmtId="0" fontId="14" fillId="0" borderId="186" xfId="0" applyFont="1" applyBorder="1"/>
    <xf numFmtId="0" fontId="12" fillId="0" borderId="187" xfId="0" applyFont="1" applyBorder="1"/>
    <xf numFmtId="0" fontId="14" fillId="0" borderId="111" xfId="0" applyFont="1" applyBorder="1"/>
    <xf numFmtId="0" fontId="14" fillId="0" borderId="35" xfId="0" applyFont="1" applyBorder="1"/>
    <xf numFmtId="178" fontId="68" fillId="0" borderId="33" xfId="0" applyNumberFormat="1" applyFont="1" applyBorder="1"/>
    <xf numFmtId="0" fontId="19" fillId="0" borderId="32" xfId="0" applyFont="1" applyBorder="1" applyAlignment="1">
      <alignment horizontal="left"/>
    </xf>
    <xf numFmtId="0" fontId="19" fillId="0" borderId="0" xfId="0" applyFont="1" applyAlignment="1">
      <alignment horizontal="left" vertical="top" wrapText="1"/>
    </xf>
    <xf numFmtId="0" fontId="9" fillId="0" borderId="0" xfId="0" applyFont="1"/>
    <xf numFmtId="0" fontId="87" fillId="0" borderId="0" xfId="0" applyFont="1"/>
    <xf numFmtId="0" fontId="25" fillId="0" borderId="0" xfId="0" applyFont="1" applyAlignment="1">
      <alignment horizontal="left"/>
    </xf>
    <xf numFmtId="0" fontId="25" fillId="0" borderId="0" xfId="0" applyFont="1" applyAlignment="1">
      <alignment horizontal="center" wrapText="1"/>
    </xf>
    <xf numFmtId="0" fontId="88" fillId="0" borderId="0" xfId="0" applyFont="1" applyAlignment="1">
      <alignment horizontal="center" wrapText="1"/>
    </xf>
    <xf numFmtId="0" fontId="88" fillId="0" borderId="0" xfId="0" applyFont="1" applyAlignment="1">
      <alignment horizontal="left"/>
    </xf>
    <xf numFmtId="0" fontId="88" fillId="0" borderId="0" xfId="0" applyFont="1"/>
    <xf numFmtId="0" fontId="89" fillId="0" borderId="0" xfId="0" applyFont="1" applyAlignment="1">
      <alignment horizontal="center"/>
    </xf>
    <xf numFmtId="0" fontId="6" fillId="0" borderId="0" xfId="0" applyFont="1" applyAlignment="1">
      <alignment horizontal="center"/>
    </xf>
    <xf numFmtId="0" fontId="89" fillId="0" borderId="14" xfId="0" applyFont="1" applyBorder="1"/>
    <xf numFmtId="0" fontId="90" fillId="0" borderId="0" xfId="0" applyFont="1" applyAlignment="1">
      <alignment horizontal="left"/>
    </xf>
    <xf numFmtId="3" fontId="89" fillId="8" borderId="4" xfId="0" applyNumberFormat="1" applyFont="1" applyFill="1" applyBorder="1" applyAlignment="1">
      <alignment horizontal="center"/>
    </xf>
    <xf numFmtId="4" fontId="6" fillId="0" borderId="0" xfId="0" applyNumberFormat="1" applyFont="1" applyAlignment="1">
      <alignment horizontal="center"/>
    </xf>
    <xf numFmtId="4" fontId="89" fillId="0" borderId="4" xfId="0" applyNumberFormat="1" applyFont="1" applyBorder="1"/>
    <xf numFmtId="167" fontId="89" fillId="0" borderId="4" xfId="0" applyNumberFormat="1" applyFont="1" applyBorder="1"/>
    <xf numFmtId="3" fontId="89" fillId="0" borderId="0" xfId="0" applyNumberFormat="1" applyFont="1" applyAlignment="1">
      <alignment horizontal="center"/>
    </xf>
    <xf numFmtId="167" fontId="89" fillId="0" borderId="0" xfId="0" applyNumberFormat="1" applyFont="1"/>
    <xf numFmtId="168" fontId="89" fillId="0" borderId="0" xfId="0" applyNumberFormat="1" applyFont="1"/>
    <xf numFmtId="170" fontId="89" fillId="0" borderId="0" xfId="0" applyNumberFormat="1" applyFont="1"/>
    <xf numFmtId="0" fontId="89" fillId="0" borderId="0" xfId="0" applyFont="1" applyAlignment="1">
      <alignment horizontal="left"/>
    </xf>
    <xf numFmtId="3" fontId="88" fillId="0" borderId="0" xfId="0" applyNumberFormat="1" applyFont="1" applyAlignment="1">
      <alignment horizontal="center" wrapText="1"/>
    </xf>
    <xf numFmtId="169" fontId="89" fillId="0" borderId="4" xfId="0" applyNumberFormat="1" applyFont="1" applyBorder="1" applyAlignment="1">
      <alignment horizontal="center"/>
    </xf>
    <xf numFmtId="37" fontId="89" fillId="8" borderId="4" xfId="0" applyNumberFormat="1" applyFont="1" applyFill="1" applyBorder="1" applyAlignment="1">
      <alignment horizontal="center"/>
    </xf>
    <xf numFmtId="167" fontId="89" fillId="0" borderId="4" xfId="0" applyNumberFormat="1" applyFont="1" applyBorder="1" applyAlignment="1">
      <alignment horizontal="right"/>
    </xf>
    <xf numFmtId="167" fontId="6" fillId="0" borderId="0" xfId="0" applyNumberFormat="1" applyFont="1" applyAlignment="1">
      <alignment horizontal="center"/>
    </xf>
    <xf numFmtId="169" fontId="6" fillId="0" borderId="0" xfId="0" applyNumberFormat="1" applyFont="1"/>
    <xf numFmtId="3" fontId="88" fillId="0" borderId="14" xfId="0" applyNumberFormat="1" applyFont="1" applyBorder="1" applyAlignment="1">
      <alignment horizontal="center" wrapText="1"/>
    </xf>
    <xf numFmtId="169" fontId="88" fillId="0" borderId="14" xfId="0" applyNumberFormat="1" applyFont="1" applyBorder="1" applyAlignment="1">
      <alignment horizontal="center" wrapText="1"/>
    </xf>
    <xf numFmtId="0" fontId="88" fillId="0" borderId="14" xfId="0" applyFont="1" applyBorder="1" applyAlignment="1">
      <alignment horizontal="center" wrapText="1"/>
    </xf>
    <xf numFmtId="169" fontId="89" fillId="0" borderId="21" xfId="0" applyNumberFormat="1" applyFont="1" applyBorder="1" applyAlignment="1">
      <alignment horizontal="center"/>
    </xf>
    <xf numFmtId="167" fontId="89" fillId="0" borderId="21" xfId="0" applyNumberFormat="1" applyFont="1" applyBorder="1"/>
    <xf numFmtId="0" fontId="88" fillId="0" borderId="0" xfId="0" applyFont="1" applyAlignment="1">
      <alignment vertical="center"/>
    </xf>
    <xf numFmtId="167" fontId="88" fillId="0" borderId="51" xfId="0" applyNumberFormat="1" applyFont="1" applyBorder="1" applyAlignment="1">
      <alignment horizontal="center"/>
    </xf>
    <xf numFmtId="167" fontId="89" fillId="0" borderId="21" xfId="0" applyNumberFormat="1" applyFont="1" applyBorder="1" applyAlignment="1">
      <alignment horizontal="center"/>
    </xf>
    <xf numFmtId="167" fontId="89" fillId="0" borderId="4" xfId="0" applyNumberFormat="1" applyFont="1" applyBorder="1" applyAlignment="1">
      <alignment horizontal="center"/>
    </xf>
    <xf numFmtId="0" fontId="89" fillId="0" borderId="0" xfId="0" applyFont="1"/>
    <xf numFmtId="0" fontId="91" fillId="0" borderId="0" xfId="0" applyFont="1"/>
    <xf numFmtId="0" fontId="6" fillId="0" borderId="0" xfId="0" applyFont="1" applyAlignment="1">
      <alignment horizontal="left" vertical="top" wrapText="1"/>
    </xf>
    <xf numFmtId="0" fontId="88" fillId="0" borderId="0" xfId="0" applyFont="1" applyAlignment="1">
      <alignment horizontal="center" vertical="center" wrapText="1"/>
    </xf>
    <xf numFmtId="0" fontId="6" fillId="0" borderId="0" xfId="0" applyFont="1" applyAlignment="1">
      <alignment vertical="center"/>
    </xf>
    <xf numFmtId="0" fontId="25" fillId="0" borderId="0" xfId="0" applyFont="1" applyAlignment="1">
      <alignment horizontal="center" vertical="center" wrapText="1"/>
    </xf>
    <xf numFmtId="10" fontId="6" fillId="0" borderId="0" xfId="0" applyNumberFormat="1" applyFont="1"/>
    <xf numFmtId="0" fontId="25" fillId="0" borderId="7" xfId="0" applyFont="1" applyBorder="1"/>
    <xf numFmtId="0" fontId="89" fillId="0" borderId="104" xfId="0" applyFont="1" applyBorder="1"/>
    <xf numFmtId="0" fontId="25" fillId="0" borderId="185" xfId="0" applyFont="1" applyBorder="1"/>
    <xf numFmtId="0" fontId="6" fillId="0" borderId="107" xfId="0" applyFont="1" applyBorder="1"/>
    <xf numFmtId="171" fontId="6" fillId="0" borderId="60" xfId="0" applyNumberFormat="1" applyFont="1" applyBorder="1"/>
    <xf numFmtId="165" fontId="6" fillId="0" borderId="0" xfId="0" applyNumberFormat="1" applyFont="1"/>
    <xf numFmtId="176" fontId="6" fillId="0" borderId="0" xfId="0" applyNumberFormat="1" applyFont="1"/>
    <xf numFmtId="0" fontId="92" fillId="0" borderId="107" xfId="0" applyFont="1" applyBorder="1" applyAlignment="1">
      <alignment horizontal="left"/>
    </xf>
    <xf numFmtId="0" fontId="6" fillId="0" borderId="108" xfId="0" applyFont="1" applyBorder="1" applyAlignment="1">
      <alignment horizontal="left" vertical="top" wrapText="1"/>
    </xf>
    <xf numFmtId="0" fontId="89" fillId="0" borderId="25" xfId="0" applyFont="1" applyBorder="1"/>
    <xf numFmtId="167" fontId="6" fillId="0" borderId="60" xfId="0" applyNumberFormat="1" applyFont="1" applyBorder="1"/>
    <xf numFmtId="0" fontId="25" fillId="0" borderId="108" xfId="0" applyFont="1" applyBorder="1"/>
    <xf numFmtId="167" fontId="6" fillId="0" borderId="25" xfId="0" applyNumberFormat="1" applyFont="1" applyBorder="1"/>
    <xf numFmtId="0" fontId="25" fillId="0" borderId="25" xfId="0" applyFont="1" applyBorder="1"/>
    <xf numFmtId="0" fontId="92" fillId="0" borderId="108" xfId="0" applyFont="1" applyBorder="1" applyAlignment="1">
      <alignment horizontal="left"/>
    </xf>
    <xf numFmtId="0" fontId="93" fillId="0" borderId="0" xfId="0" applyFont="1"/>
    <xf numFmtId="0" fontId="93" fillId="0" borderId="0" xfId="0" applyFont="1" applyAlignment="1">
      <alignment vertical="center"/>
    </xf>
    <xf numFmtId="0" fontId="94" fillId="0" borderId="0" xfId="0" applyFont="1"/>
    <xf numFmtId="0" fontId="95" fillId="0" borderId="0" xfId="0" applyFont="1" applyAlignment="1">
      <alignment vertical="center"/>
    </xf>
    <xf numFmtId="0" fontId="89" fillId="0" borderId="0" xfId="0" applyFont="1" applyAlignment="1">
      <alignment horizontal="center" wrapText="1"/>
    </xf>
    <xf numFmtId="0" fontId="25" fillId="0" borderId="0" xfId="0" applyFont="1" applyAlignment="1">
      <alignment horizontal="center"/>
    </xf>
    <xf numFmtId="167" fontId="25" fillId="0" borderId="0" xfId="0" applyNumberFormat="1" applyFont="1"/>
    <xf numFmtId="168" fontId="25" fillId="0" borderId="0" xfId="0" applyNumberFormat="1" applyFont="1"/>
    <xf numFmtId="1" fontId="25" fillId="0" borderId="0" xfId="0" applyNumberFormat="1" applyFont="1"/>
    <xf numFmtId="177" fontId="25" fillId="0" borderId="0" xfId="0" applyNumberFormat="1" applyFont="1"/>
    <xf numFmtId="43" fontId="25" fillId="0" borderId="0" xfId="0" applyNumberFormat="1" applyFont="1"/>
    <xf numFmtId="10" fontId="25" fillId="0" borderId="0" xfId="0" applyNumberFormat="1" applyFont="1"/>
    <xf numFmtId="191" fontId="25" fillId="0" borderId="0" xfId="0" applyNumberFormat="1" applyFont="1"/>
    <xf numFmtId="170" fontId="25" fillId="0" borderId="0" xfId="0" applyNumberFormat="1" applyFont="1"/>
    <xf numFmtId="0" fontId="68" fillId="0" borderId="0" xfId="0" applyFont="1"/>
    <xf numFmtId="9" fontId="25" fillId="0" borderId="0" xfId="0" applyNumberFormat="1" applyFont="1"/>
    <xf numFmtId="189" fontId="25" fillId="0" borderId="0" xfId="0" applyNumberFormat="1" applyFont="1"/>
    <xf numFmtId="193" fontId="25" fillId="0" borderId="0" xfId="0" applyNumberFormat="1" applyFont="1"/>
    <xf numFmtId="2" fontId="25" fillId="0" borderId="0" xfId="0" applyNumberFormat="1" applyFont="1"/>
    <xf numFmtId="0" fontId="48" fillId="0" borderId="0" xfId="0" applyFont="1" applyAlignment="1">
      <alignment horizontal="center" wrapText="1"/>
    </xf>
    <xf numFmtId="0" fontId="18" fillId="0" borderId="0" xfId="0" applyFont="1" applyAlignment="1">
      <alignment horizontal="center"/>
    </xf>
    <xf numFmtId="0" fontId="18" fillId="0" borderId="0" xfId="0" applyFont="1" applyAlignment="1">
      <alignment horizontal="center" vertical="top" wrapText="1"/>
    </xf>
    <xf numFmtId="0" fontId="18" fillId="0" borderId="0" xfId="0" applyFont="1" applyAlignment="1">
      <alignment horizontal="center" vertical="top"/>
    </xf>
    <xf numFmtId="167" fontId="25" fillId="0" borderId="0" xfId="0" applyNumberFormat="1" applyFont="1" applyAlignment="1">
      <alignment horizontal="center"/>
    </xf>
    <xf numFmtId="170" fontId="25" fillId="0" borderId="0" xfId="0" applyNumberFormat="1" applyFont="1" applyAlignment="1">
      <alignment horizontal="center"/>
    </xf>
    <xf numFmtId="186" fontId="25" fillId="0" borderId="0" xfId="0" applyNumberFormat="1" applyFont="1"/>
    <xf numFmtId="169" fontId="25" fillId="0" borderId="0" xfId="0" applyNumberFormat="1" applyFont="1"/>
    <xf numFmtId="167" fontId="25" fillId="0" borderId="0" xfId="0" applyNumberFormat="1" applyFont="1" applyAlignment="1">
      <alignment horizontal="left"/>
    </xf>
    <xf numFmtId="0" fontId="25" fillId="0" borderId="0" xfId="0" applyFont="1" applyAlignment="1">
      <alignment horizontal="right"/>
    </xf>
    <xf numFmtId="164" fontId="25" fillId="0" borderId="0" xfId="0" applyNumberFormat="1" applyFont="1"/>
    <xf numFmtId="0" fontId="14" fillId="0" borderId="20" xfId="0" applyFont="1" applyBorder="1"/>
    <xf numFmtId="186" fontId="19" fillId="0" borderId="0" xfId="0" applyNumberFormat="1" applyFont="1"/>
    <xf numFmtId="186" fontId="12" fillId="0" borderId="0" xfId="0" applyNumberFormat="1" applyFont="1"/>
    <xf numFmtId="186" fontId="43" fillId="0" borderId="0" xfId="0" applyNumberFormat="1" applyFont="1"/>
    <xf numFmtId="0" fontId="19" fillId="0" borderId="0" xfId="0" applyFont="1" applyAlignment="1">
      <alignment horizontal="left"/>
    </xf>
    <xf numFmtId="0" fontId="14" fillId="0" borderId="112" xfId="0" applyFont="1" applyBorder="1"/>
    <xf numFmtId="186" fontId="14" fillId="0" borderId="112" xfId="0" applyNumberFormat="1" applyFont="1" applyBorder="1"/>
    <xf numFmtId="194" fontId="12" fillId="0" borderId="0" xfId="0" applyNumberFormat="1" applyFont="1"/>
    <xf numFmtId="0" fontId="96" fillId="24" borderId="36" xfId="0" applyFont="1" applyFill="1" applyBorder="1"/>
    <xf numFmtId="0" fontId="12" fillId="24" borderId="36" xfId="0" applyFont="1" applyFill="1" applyBorder="1"/>
    <xf numFmtId="0" fontId="75" fillId="0" borderId="0" xfId="0" applyFont="1" applyAlignment="1">
      <alignment horizontal="center" wrapText="1"/>
    </xf>
    <xf numFmtId="0" fontId="18" fillId="0" borderId="14" xfId="0" applyFont="1" applyBorder="1"/>
    <xf numFmtId="0" fontId="18" fillId="0" borderId="0" xfId="0" applyFont="1" applyAlignment="1">
      <alignment horizontal="left"/>
    </xf>
    <xf numFmtId="174" fontId="97" fillId="24" borderId="4" xfId="0" applyNumberFormat="1" applyFont="1" applyFill="1" applyBorder="1" applyAlignment="1">
      <alignment horizontal="center"/>
    </xf>
    <xf numFmtId="169" fontId="18" fillId="0" borderId="4" xfId="0" applyNumberFormat="1" applyFont="1" applyBorder="1" applyAlignment="1">
      <alignment horizontal="center"/>
    </xf>
    <xf numFmtId="167" fontId="18" fillId="0" borderId="4" xfId="0" applyNumberFormat="1" applyFont="1" applyBorder="1"/>
    <xf numFmtId="168" fontId="18" fillId="0" borderId="21" xfId="0" applyNumberFormat="1" applyFont="1" applyBorder="1"/>
    <xf numFmtId="170" fontId="18" fillId="0" borderId="4" xfId="0" applyNumberFormat="1" applyFont="1" applyBorder="1"/>
    <xf numFmtId="174" fontId="9" fillId="24" borderId="4" xfId="0" applyNumberFormat="1" applyFont="1" applyFill="1" applyBorder="1" applyAlignment="1">
      <alignment horizontal="center"/>
    </xf>
    <xf numFmtId="3" fontId="9" fillId="0" borderId="0" xfId="0" applyNumberFormat="1" applyFont="1" applyAlignment="1">
      <alignment horizontal="center"/>
    </xf>
    <xf numFmtId="169" fontId="18" fillId="0" borderId="16" xfId="0" applyNumberFormat="1" applyFont="1" applyBorder="1" applyAlignment="1">
      <alignment horizontal="center"/>
    </xf>
    <xf numFmtId="167" fontId="18" fillId="0" borderId="0" xfId="0" applyNumberFormat="1" applyFont="1"/>
    <xf numFmtId="168" fontId="18" fillId="0" borderId="16" xfId="0" applyNumberFormat="1" applyFont="1" applyBorder="1"/>
    <xf numFmtId="170" fontId="18" fillId="0" borderId="0" xfId="0" applyNumberFormat="1" applyFont="1"/>
    <xf numFmtId="169" fontId="18" fillId="0" borderId="23" xfId="0" applyNumberFormat="1" applyFont="1" applyBorder="1" applyAlignment="1">
      <alignment horizontal="center"/>
    </xf>
    <xf numFmtId="174" fontId="9" fillId="0" borderId="0" xfId="0" applyNumberFormat="1" applyFont="1" applyAlignment="1">
      <alignment horizontal="center"/>
    </xf>
    <xf numFmtId="169" fontId="18" fillId="0" borderId="21" xfId="0" applyNumberFormat="1" applyFont="1" applyBorder="1" applyAlignment="1">
      <alignment horizontal="center"/>
    </xf>
    <xf numFmtId="167" fontId="48" fillId="0" borderId="83" xfId="0" applyNumberFormat="1" applyFont="1" applyBorder="1"/>
    <xf numFmtId="168" fontId="48" fillId="0" borderId="83" xfId="0" applyNumberFormat="1" applyFont="1" applyBorder="1"/>
    <xf numFmtId="170" fontId="48" fillId="0" borderId="83" xfId="0" applyNumberFormat="1" applyFont="1" applyBorder="1"/>
    <xf numFmtId="0" fontId="48" fillId="0" borderId="20" xfId="0" applyFont="1" applyBorder="1"/>
    <xf numFmtId="0" fontId="9" fillId="0" borderId="20" xfId="0" applyFont="1" applyBorder="1" applyAlignment="1">
      <alignment horizontal="center"/>
    </xf>
    <xf numFmtId="0" fontId="18" fillId="0" borderId="20" xfId="0" applyFont="1" applyBorder="1" applyAlignment="1">
      <alignment horizontal="center"/>
    </xf>
    <xf numFmtId="167" fontId="48" fillId="0" borderId="20" xfId="0" applyNumberFormat="1" applyFont="1" applyBorder="1"/>
    <xf numFmtId="0" fontId="48" fillId="0" borderId="20" xfId="0" applyFont="1" applyBorder="1" applyAlignment="1">
      <alignment horizontal="center"/>
    </xf>
    <xf numFmtId="168" fontId="48" fillId="0" borderId="20" xfId="0" applyNumberFormat="1" applyFont="1" applyBorder="1"/>
    <xf numFmtId="170" fontId="48" fillId="0" borderId="20" xfId="0" applyNumberFormat="1" applyFont="1" applyBorder="1"/>
    <xf numFmtId="0" fontId="9" fillId="24" borderId="36" xfId="0" applyFont="1" applyFill="1" applyBorder="1" applyAlignment="1">
      <alignment horizontal="center"/>
    </xf>
    <xf numFmtId="0" fontId="18" fillId="24" borderId="36" xfId="0" applyFont="1" applyFill="1" applyBorder="1" applyAlignment="1">
      <alignment horizontal="center"/>
    </xf>
    <xf numFmtId="167" fontId="48" fillId="0" borderId="0" xfId="0" applyNumberFormat="1" applyFont="1"/>
    <xf numFmtId="168" fontId="48" fillId="0" borderId="0" xfId="0" applyNumberFormat="1" applyFont="1"/>
    <xf numFmtId="170" fontId="48" fillId="0" borderId="0" xfId="0" applyNumberFormat="1" applyFont="1"/>
    <xf numFmtId="0" fontId="48" fillId="0" borderId="0" xfId="0" applyFont="1" applyAlignment="1">
      <alignment horizontal="center" vertical="center" wrapText="1"/>
    </xf>
    <xf numFmtId="0" fontId="45" fillId="0" borderId="0" xfId="0" applyFont="1" applyAlignment="1">
      <alignment vertical="center"/>
    </xf>
    <xf numFmtId="0" fontId="75" fillId="0" borderId="0" xfId="0" applyFont="1"/>
    <xf numFmtId="0" fontId="47" fillId="0" borderId="0" xfId="0" applyFont="1" applyAlignment="1">
      <alignment vertical="center"/>
    </xf>
    <xf numFmtId="0" fontId="47" fillId="0" borderId="0" xfId="0" applyFont="1" applyAlignment="1">
      <alignment horizontal="center" vertical="center"/>
    </xf>
    <xf numFmtId="170" fontId="85" fillId="0" borderId="0" xfId="0" applyNumberFormat="1" applyFont="1" applyAlignment="1">
      <alignment horizontal="center" vertical="center" wrapText="1"/>
    </xf>
    <xf numFmtId="0" fontId="18" fillId="0" borderId="0" xfId="0" applyFont="1" applyAlignment="1">
      <alignment horizontal="center" vertical="center" wrapText="1"/>
    </xf>
    <xf numFmtId="174" fontId="18" fillId="30" borderId="188" xfId="0" applyNumberFormat="1" applyFont="1" applyFill="1" applyBorder="1" applyAlignment="1">
      <alignment horizontal="center"/>
    </xf>
    <xf numFmtId="3" fontId="18" fillId="0" borderId="4" xfId="0" applyNumberFormat="1" applyFont="1" applyBorder="1" applyAlignment="1">
      <alignment horizontal="center"/>
    </xf>
    <xf numFmtId="167" fontId="18" fillId="0" borderId="4" xfId="0" applyNumberFormat="1" applyFont="1" applyBorder="1" applyAlignment="1">
      <alignment horizontal="center"/>
    </xf>
    <xf numFmtId="2" fontId="18" fillId="0" borderId="23" xfId="0" applyNumberFormat="1" applyFont="1" applyBorder="1" applyAlignment="1">
      <alignment horizontal="center"/>
    </xf>
    <xf numFmtId="0" fontId="18" fillId="0" borderId="189" xfId="0" applyFont="1" applyBorder="1" applyAlignment="1">
      <alignment horizontal="center" vertical="center"/>
    </xf>
    <xf numFmtId="170" fontId="18" fillId="0" borderId="4" xfId="0" applyNumberFormat="1" applyFont="1" applyBorder="1" applyAlignment="1">
      <alignment horizontal="center" vertical="center"/>
    </xf>
    <xf numFmtId="167" fontId="9" fillId="0" borderId="4" xfId="0" applyNumberFormat="1" applyFont="1" applyBorder="1" applyAlignment="1">
      <alignment horizontal="center"/>
    </xf>
    <xf numFmtId="170" fontId="9" fillId="0" borderId="4" xfId="0" applyNumberFormat="1" applyFont="1" applyBorder="1" applyAlignment="1">
      <alignment horizontal="right"/>
    </xf>
    <xf numFmtId="0" fontId="18" fillId="0" borderId="5" xfId="0" applyFont="1" applyBorder="1" applyAlignment="1">
      <alignment horizontal="center"/>
    </xf>
    <xf numFmtId="3" fontId="18" fillId="0" borderId="16" xfId="0" applyNumberFormat="1" applyFont="1" applyBorder="1" applyAlignment="1">
      <alignment horizontal="center"/>
    </xf>
    <xf numFmtId="3" fontId="18" fillId="0" borderId="0" xfId="0" applyNumberFormat="1" applyFont="1" applyAlignment="1">
      <alignment horizontal="center"/>
    </xf>
    <xf numFmtId="169" fontId="18" fillId="0" borderId="0" xfId="0" applyNumberFormat="1" applyFont="1" applyAlignment="1">
      <alignment horizontal="center"/>
    </xf>
    <xf numFmtId="167" fontId="18" fillId="0" borderId="16" xfId="0" applyNumberFormat="1" applyFont="1" applyBorder="1" applyAlignment="1">
      <alignment horizontal="center"/>
    </xf>
    <xf numFmtId="2" fontId="18" fillId="0" borderId="16" xfId="0" applyNumberFormat="1" applyFont="1" applyBorder="1" applyAlignment="1">
      <alignment horizontal="center"/>
    </xf>
    <xf numFmtId="167" fontId="18" fillId="0" borderId="0" xfId="0" applyNumberFormat="1" applyFont="1" applyAlignment="1">
      <alignment horizontal="center"/>
    </xf>
    <xf numFmtId="170" fontId="9" fillId="0" borderId="0" xfId="0" applyNumberFormat="1" applyFont="1" applyAlignment="1">
      <alignment horizontal="right"/>
    </xf>
    <xf numFmtId="174" fontId="18" fillId="30" borderId="136" xfId="0" applyNumberFormat="1" applyFont="1" applyFill="1" applyBorder="1" applyAlignment="1">
      <alignment horizontal="center"/>
    </xf>
    <xf numFmtId="2" fontId="18" fillId="0" borderId="21" xfId="0" applyNumberFormat="1" applyFont="1" applyBorder="1" applyAlignment="1">
      <alignment horizontal="center"/>
    </xf>
    <xf numFmtId="179" fontId="18" fillId="0" borderId="0" xfId="0" applyNumberFormat="1" applyFont="1" applyAlignment="1">
      <alignment horizontal="center"/>
    </xf>
    <xf numFmtId="2" fontId="18" fillId="0" borderId="4" xfId="0" applyNumberFormat="1" applyFont="1" applyBorder="1" applyAlignment="1">
      <alignment horizontal="center"/>
    </xf>
    <xf numFmtId="174" fontId="18" fillId="30" borderId="4" xfId="0" applyNumberFormat="1" applyFont="1" applyFill="1" applyBorder="1" applyAlignment="1">
      <alignment horizontal="center"/>
    </xf>
    <xf numFmtId="174" fontId="18" fillId="30" borderId="190" xfId="0" applyNumberFormat="1" applyFont="1" applyFill="1" applyBorder="1" applyAlignment="1">
      <alignment horizontal="center"/>
    </xf>
    <xf numFmtId="3" fontId="18" fillId="0" borderId="191" xfId="0" applyNumberFormat="1" applyFont="1" applyBorder="1" applyAlignment="1">
      <alignment horizontal="center"/>
    </xf>
    <xf numFmtId="167" fontId="18" fillId="0" borderId="191" xfId="0" applyNumberFormat="1" applyFont="1" applyBorder="1" applyAlignment="1">
      <alignment horizontal="center"/>
    </xf>
    <xf numFmtId="2" fontId="18" fillId="0" borderId="191" xfId="0" applyNumberFormat="1" applyFont="1" applyBorder="1" applyAlignment="1">
      <alignment horizontal="center"/>
    </xf>
    <xf numFmtId="170" fontId="18" fillId="0" borderId="0" xfId="0" applyNumberFormat="1" applyFont="1" applyAlignment="1">
      <alignment horizontal="center"/>
    </xf>
    <xf numFmtId="3" fontId="98" fillId="2" borderId="192" xfId="0" applyNumberFormat="1" applyFont="1" applyFill="1" applyBorder="1" applyAlignment="1">
      <alignment horizontal="center"/>
    </xf>
    <xf numFmtId="0" fontId="98" fillId="2" borderId="36" xfId="0" applyFont="1" applyFill="1" applyBorder="1" applyAlignment="1">
      <alignment horizontal="center"/>
    </xf>
    <xf numFmtId="0" fontId="98" fillId="2" borderId="192" xfId="0" applyFont="1" applyFill="1" applyBorder="1" applyAlignment="1">
      <alignment horizontal="center"/>
    </xf>
    <xf numFmtId="167" fontId="98" fillId="2" borderId="192" xfId="0" applyNumberFormat="1" applyFont="1" applyFill="1" applyBorder="1" applyAlignment="1">
      <alignment horizontal="center"/>
    </xf>
    <xf numFmtId="2" fontId="98" fillId="2" borderId="192" xfId="0" applyNumberFormat="1" applyFont="1" applyFill="1" applyBorder="1" applyAlignment="1">
      <alignment horizontal="center"/>
    </xf>
    <xf numFmtId="170" fontId="98" fillId="2" borderId="192" xfId="0" applyNumberFormat="1" applyFont="1" applyFill="1" applyBorder="1" applyAlignment="1">
      <alignment horizontal="center" vertical="center"/>
    </xf>
    <xf numFmtId="167" fontId="72" fillId="2" borderId="192" xfId="0" applyNumberFormat="1" applyFont="1" applyFill="1" applyBorder="1" applyAlignment="1">
      <alignment horizontal="center"/>
    </xf>
    <xf numFmtId="170" fontId="72" fillId="2" borderId="192" xfId="0" applyNumberFormat="1" applyFont="1" applyFill="1" applyBorder="1" applyAlignment="1">
      <alignment horizontal="right"/>
    </xf>
    <xf numFmtId="170" fontId="18" fillId="0" borderId="4" xfId="0" applyNumberFormat="1" applyFont="1" applyBorder="1" applyAlignment="1">
      <alignment horizontal="center"/>
    </xf>
    <xf numFmtId="0" fontId="35" fillId="0" borderId="0" xfId="0" applyFont="1" applyAlignment="1">
      <alignment horizontal="center"/>
    </xf>
    <xf numFmtId="167" fontId="48" fillId="0" borderId="83" xfId="0" applyNumberFormat="1" applyFont="1" applyBorder="1" applyAlignment="1">
      <alignment horizontal="center"/>
    </xf>
    <xf numFmtId="167" fontId="75" fillId="0" borderId="83" xfId="0" applyNumberFormat="1" applyFont="1" applyBorder="1" applyAlignment="1">
      <alignment horizontal="center"/>
    </xf>
    <xf numFmtId="170" fontId="75" fillId="0" borderId="83" xfId="0" applyNumberFormat="1" applyFont="1" applyBorder="1" applyAlignment="1">
      <alignment horizontal="right"/>
    </xf>
    <xf numFmtId="174" fontId="75" fillId="0" borderId="0" xfId="0" applyNumberFormat="1" applyFont="1" applyAlignment="1">
      <alignment horizontal="center" wrapText="1"/>
    </xf>
    <xf numFmtId="174" fontId="48" fillId="0" borderId="0" xfId="0" applyNumberFormat="1" applyFont="1" applyAlignment="1">
      <alignment horizontal="center" vertical="center" wrapText="1"/>
    </xf>
    <xf numFmtId="43" fontId="35" fillId="0" borderId="0" xfId="0" applyNumberFormat="1" applyFont="1"/>
    <xf numFmtId="174" fontId="18" fillId="0" borderId="4" xfId="0" applyNumberFormat="1" applyFont="1" applyBorder="1" applyAlignment="1">
      <alignment horizontal="center"/>
    </xf>
    <xf numFmtId="171" fontId="18" fillId="0" borderId="4" xfId="0" applyNumberFormat="1" applyFont="1" applyBorder="1" applyAlignment="1">
      <alignment horizontal="center"/>
    </xf>
    <xf numFmtId="174" fontId="18" fillId="0" borderId="16" xfId="0" applyNumberFormat="1" applyFont="1" applyBorder="1" applyAlignment="1">
      <alignment horizontal="center"/>
    </xf>
    <xf numFmtId="171" fontId="18" fillId="0" borderId="16" xfId="0" applyNumberFormat="1" applyFont="1" applyBorder="1" applyAlignment="1">
      <alignment horizontal="center"/>
    </xf>
    <xf numFmtId="174" fontId="18" fillId="0" borderId="191" xfId="0" applyNumberFormat="1" applyFont="1" applyBorder="1" applyAlignment="1">
      <alignment horizontal="center"/>
    </xf>
    <xf numFmtId="174" fontId="98" fillId="2" borderId="192" xfId="0" applyNumberFormat="1" applyFont="1" applyFill="1" applyBorder="1" applyAlignment="1">
      <alignment horizontal="center"/>
    </xf>
    <xf numFmtId="0" fontId="99" fillId="2" borderId="36" xfId="0" applyFont="1" applyFill="1" applyBorder="1"/>
    <xf numFmtId="167" fontId="98" fillId="2" borderId="36" xfId="0" applyNumberFormat="1" applyFont="1" applyFill="1" applyBorder="1"/>
    <xf numFmtId="171" fontId="18" fillId="0" borderId="23" xfId="0" applyNumberFormat="1" applyFont="1" applyBorder="1" applyAlignment="1">
      <alignment horizontal="center"/>
    </xf>
    <xf numFmtId="3" fontId="35" fillId="0" borderId="0" xfId="0" applyNumberFormat="1" applyFont="1" applyAlignment="1">
      <alignment horizontal="center"/>
    </xf>
    <xf numFmtId="171" fontId="48" fillId="0" borderId="83" xfId="0" applyNumberFormat="1" applyFont="1" applyBorder="1" applyAlignment="1">
      <alignment horizontal="center"/>
    </xf>
    <xf numFmtId="171" fontId="48" fillId="0" borderId="4" xfId="0" applyNumberFormat="1" applyFont="1" applyBorder="1" applyAlignment="1">
      <alignment horizontal="center"/>
    </xf>
    <xf numFmtId="0" fontId="96" fillId="24" borderId="36" xfId="0" applyFont="1" applyFill="1" applyBorder="1" applyAlignment="1">
      <alignment horizontal="left"/>
    </xf>
    <xf numFmtId="0" fontId="25" fillId="4" borderId="36" xfId="0" applyFont="1" applyFill="1" applyBorder="1"/>
    <xf numFmtId="0" fontId="6" fillId="4" borderId="36" xfId="0" applyFont="1" applyFill="1" applyBorder="1"/>
    <xf numFmtId="167" fontId="6" fillId="4" borderId="36" xfId="0" applyNumberFormat="1" applyFont="1" applyFill="1" applyBorder="1"/>
    <xf numFmtId="189" fontId="6" fillId="4" borderId="36" xfId="0" applyNumberFormat="1" applyFont="1" applyFill="1" applyBorder="1"/>
    <xf numFmtId="0" fontId="100" fillId="0" borderId="0" xfId="0" applyFont="1" applyAlignment="1">
      <alignment wrapText="1"/>
    </xf>
    <xf numFmtId="0" fontId="6" fillId="0" borderId="109" xfId="0" applyFont="1" applyBorder="1" applyAlignment="1">
      <alignment horizontal="center" wrapText="1"/>
    </xf>
    <xf numFmtId="0" fontId="6" fillId="0" borderId="0" xfId="0" applyFont="1" applyAlignment="1">
      <alignment horizontal="center" wrapText="1"/>
    </xf>
    <xf numFmtId="189" fontId="25" fillId="0" borderId="0" xfId="0" applyNumberFormat="1" applyFont="1" applyAlignment="1">
      <alignment horizontal="center" wrapText="1"/>
    </xf>
    <xf numFmtId="0" fontId="6" fillId="0" borderId="0" xfId="0" applyFont="1" applyAlignment="1">
      <alignment vertical="center" wrapText="1"/>
    </xf>
    <xf numFmtId="0" fontId="6" fillId="0" borderId="0" xfId="0" applyFont="1" applyAlignment="1">
      <alignment horizontal="left" wrapText="1"/>
    </xf>
    <xf numFmtId="167" fontId="6" fillId="28" borderId="193" xfId="0" applyNumberFormat="1" applyFont="1" applyFill="1" applyBorder="1" applyAlignment="1">
      <alignment horizontal="center" vertical="center" wrapText="1"/>
    </xf>
    <xf numFmtId="0" fontId="25" fillId="0" borderId="78" xfId="0" applyFont="1" applyBorder="1" applyAlignment="1">
      <alignment wrapText="1"/>
    </xf>
    <xf numFmtId="168" fontId="6" fillId="0" borderId="194" xfId="0" applyNumberFormat="1" applyFont="1" applyBorder="1"/>
    <xf numFmtId="0" fontId="6" fillId="0" borderId="194" xfId="0" applyFont="1" applyBorder="1"/>
    <xf numFmtId="167" fontId="6" fillId="0" borderId="194" xfId="0" applyNumberFormat="1" applyFont="1" applyBorder="1" applyAlignment="1">
      <alignment horizontal="center"/>
    </xf>
    <xf numFmtId="167" fontId="25" fillId="0" borderId="194" xfId="0" applyNumberFormat="1" applyFont="1" applyBorder="1" applyAlignment="1">
      <alignment horizontal="center" wrapText="1"/>
    </xf>
    <xf numFmtId="0" fontId="6" fillId="0" borderId="194" xfId="0" applyFont="1" applyBorder="1" applyAlignment="1">
      <alignment horizontal="center"/>
    </xf>
    <xf numFmtId="189" fontId="25" fillId="0" borderId="83" xfId="0" applyNumberFormat="1" applyFont="1" applyBorder="1" applyAlignment="1">
      <alignment horizontal="center"/>
    </xf>
    <xf numFmtId="178" fontId="25" fillId="0" borderId="83" xfId="0" applyNumberFormat="1" applyFont="1" applyBorder="1" applyAlignment="1">
      <alignment horizontal="center"/>
    </xf>
    <xf numFmtId="167" fontId="6" fillId="28" borderId="193" xfId="0" applyNumberFormat="1" applyFont="1" applyFill="1" applyBorder="1" applyAlignment="1">
      <alignment horizontal="center" vertical="center"/>
    </xf>
    <xf numFmtId="0" fontId="6" fillId="0" borderId="78" xfId="0" applyFont="1" applyBorder="1"/>
    <xf numFmtId="168" fontId="6" fillId="0" borderId="195" xfId="0" applyNumberFormat="1" applyFont="1" applyBorder="1"/>
    <xf numFmtId="0" fontId="6" fillId="0" borderId="195" xfId="0" applyFont="1" applyBorder="1"/>
    <xf numFmtId="167" fontId="6" fillId="0" borderId="195" xfId="0" applyNumberFormat="1" applyFont="1" applyBorder="1" applyAlignment="1">
      <alignment horizontal="center"/>
    </xf>
    <xf numFmtId="0" fontId="6" fillId="0" borderId="195" xfId="0" applyFont="1" applyBorder="1" applyAlignment="1">
      <alignment horizontal="center"/>
    </xf>
    <xf numFmtId="0" fontId="6" fillId="0" borderId="0" xfId="0" applyFont="1" applyAlignment="1">
      <alignment wrapText="1"/>
    </xf>
    <xf numFmtId="0" fontId="6" fillId="0" borderId="0" xfId="0" applyFont="1" applyAlignment="1">
      <alignment vertical="top" wrapText="1"/>
    </xf>
    <xf numFmtId="167" fontId="6" fillId="0" borderId="196" xfId="0" applyNumberFormat="1" applyFont="1" applyBorder="1" applyAlignment="1">
      <alignment horizontal="center"/>
    </xf>
    <xf numFmtId="167" fontId="25" fillId="0" borderId="4" xfId="0" applyNumberFormat="1" applyFont="1" applyBorder="1" applyAlignment="1">
      <alignment horizontal="center" vertical="center"/>
    </xf>
    <xf numFmtId="167" fontId="25" fillId="0" borderId="0" xfId="0" applyNumberFormat="1" applyFont="1" applyAlignment="1">
      <alignment horizontal="center" vertical="center"/>
    </xf>
    <xf numFmtId="0" fontId="25" fillId="0" borderId="0" xfId="0" applyFont="1" applyAlignment="1">
      <alignment horizontal="center" vertical="center"/>
    </xf>
    <xf numFmtId="167" fontId="25" fillId="0" borderId="4" xfId="0" applyNumberFormat="1" applyFont="1" applyBorder="1" applyAlignment="1">
      <alignment horizontal="center" vertical="center" wrapText="1"/>
    </xf>
    <xf numFmtId="0" fontId="25" fillId="4" borderId="36" xfId="0" applyFont="1" applyFill="1" applyBorder="1" applyAlignment="1">
      <alignment vertical="center"/>
    </xf>
    <xf numFmtId="1" fontId="25" fillId="4" borderId="36" xfId="0" applyNumberFormat="1" applyFont="1" applyFill="1" applyBorder="1" applyAlignment="1">
      <alignment horizontal="center"/>
    </xf>
    <xf numFmtId="0" fontId="25" fillId="0" borderId="0" xfId="0" applyFont="1" applyAlignment="1">
      <alignment horizontal="left" vertical="center"/>
    </xf>
    <xf numFmtId="167" fontId="25" fillId="0" borderId="0" xfId="0" applyNumberFormat="1" applyFont="1" applyAlignment="1">
      <alignment horizontal="center" vertical="center" wrapText="1"/>
    </xf>
    <xf numFmtId="0" fontId="25" fillId="0" borderId="0" xfId="0" applyFont="1" applyAlignment="1">
      <alignment horizontal="left" vertical="center" wrapText="1"/>
    </xf>
    <xf numFmtId="189" fontId="25" fillId="0" borderId="0" xfId="0" applyNumberFormat="1" applyFont="1" applyAlignment="1">
      <alignment horizontal="center" vertical="center" wrapText="1"/>
    </xf>
    <xf numFmtId="0" fontId="25" fillId="0" borderId="0" xfId="0" applyFont="1" applyAlignment="1">
      <alignment horizontal="left" wrapText="1"/>
    </xf>
    <xf numFmtId="167" fontId="6" fillId="28" borderId="4" xfId="0" applyNumberFormat="1" applyFont="1" applyFill="1" applyBorder="1"/>
    <xf numFmtId="167" fontId="101" fillId="0" borderId="4" xfId="0" applyNumberFormat="1" applyFont="1" applyBorder="1" applyAlignment="1">
      <alignment horizontal="center"/>
    </xf>
    <xf numFmtId="9" fontId="6" fillId="0" borderId="0" xfId="0" applyNumberFormat="1" applyFont="1" applyAlignment="1">
      <alignment horizontal="center"/>
    </xf>
    <xf numFmtId="167" fontId="6" fillId="0" borderId="2" xfId="0" applyNumberFormat="1" applyFont="1" applyBorder="1" applyAlignment="1">
      <alignment horizontal="center" wrapText="1"/>
    </xf>
    <xf numFmtId="167" fontId="6" fillId="0" borderId="78" xfId="0" applyNumberFormat="1" applyFont="1" applyBorder="1" applyAlignment="1">
      <alignment horizontal="center" wrapText="1"/>
    </xf>
    <xf numFmtId="167" fontId="6" fillId="0" borderId="3" xfId="0" applyNumberFormat="1" applyFont="1" applyBorder="1" applyAlignment="1">
      <alignment horizontal="center" wrapText="1"/>
    </xf>
    <xf numFmtId="167" fontId="6" fillId="0" borderId="0" xfId="0" applyNumberFormat="1" applyFont="1" applyAlignment="1">
      <alignment horizontal="center" wrapText="1"/>
    </xf>
    <xf numFmtId="167" fontId="25" fillId="0" borderId="83" xfId="0" applyNumberFormat="1" applyFont="1" applyBorder="1" applyAlignment="1">
      <alignment horizontal="center"/>
    </xf>
    <xf numFmtId="171" fontId="25" fillId="0" borderId="83" xfId="0" applyNumberFormat="1" applyFont="1" applyBorder="1" applyAlignment="1">
      <alignment horizontal="center"/>
    </xf>
    <xf numFmtId="171" fontId="6" fillId="0" borderId="0" xfId="0" applyNumberFormat="1" applyFont="1" applyAlignment="1">
      <alignment horizontal="center" wrapText="1"/>
    </xf>
    <xf numFmtId="167" fontId="6" fillId="0" borderId="4" xfId="0" applyNumberFormat="1" applyFont="1" applyBorder="1" applyAlignment="1">
      <alignment horizontal="center"/>
    </xf>
    <xf numFmtId="0" fontId="6" fillId="0" borderId="0" xfId="0" applyFont="1" applyAlignment="1">
      <alignment horizontal="left"/>
    </xf>
    <xf numFmtId="0" fontId="92" fillId="0" borderId="0" xfId="0" applyFont="1"/>
    <xf numFmtId="9" fontId="6" fillId="0" borderId="4" xfId="0" applyNumberFormat="1" applyFont="1" applyBorder="1"/>
    <xf numFmtId="9" fontId="101" fillId="0" borderId="4" xfId="0" applyNumberFormat="1" applyFont="1" applyBorder="1"/>
    <xf numFmtId="167" fontId="6" fillId="0" borderId="4" xfId="0" applyNumberFormat="1" applyFont="1" applyBorder="1"/>
    <xf numFmtId="167" fontId="101" fillId="0" borderId="4" xfId="0" applyNumberFormat="1" applyFont="1" applyBorder="1"/>
    <xf numFmtId="167" fontId="25" fillId="0" borderId="0" xfId="0" applyNumberFormat="1" applyFont="1" applyAlignment="1">
      <alignment horizontal="center" wrapText="1"/>
    </xf>
    <xf numFmtId="167" fontId="48" fillId="24" borderId="36" xfId="0" applyNumberFormat="1" applyFont="1" applyFill="1" applyBorder="1"/>
    <xf numFmtId="195" fontId="12" fillId="0" borderId="0" xfId="0" applyNumberFormat="1" applyFont="1" applyAlignment="1">
      <alignment horizontal="left"/>
    </xf>
    <xf numFmtId="0" fontId="68" fillId="0" borderId="0" xfId="0" applyFont="1" applyAlignment="1">
      <alignment horizontal="center" vertical="top" wrapText="1"/>
    </xf>
    <xf numFmtId="9" fontId="68" fillId="0" borderId="162" xfId="0" applyNumberFormat="1" applyFont="1" applyBorder="1" applyAlignment="1">
      <alignment horizontal="left" wrapText="1"/>
    </xf>
    <xf numFmtId="9" fontId="68" fillId="0" borderId="163" xfId="0" applyNumberFormat="1" applyFont="1" applyBorder="1" applyAlignment="1">
      <alignment horizontal="center" wrapText="1"/>
    </xf>
    <xf numFmtId="9" fontId="68" fillId="0" borderId="199" xfId="0" applyNumberFormat="1" applyFont="1" applyBorder="1" applyAlignment="1">
      <alignment horizontal="center" wrapText="1"/>
    </xf>
    <xf numFmtId="0" fontId="68" fillId="0" borderId="162" xfId="0" applyFont="1" applyBorder="1" applyAlignment="1">
      <alignment horizontal="center" wrapText="1"/>
    </xf>
    <xf numFmtId="9" fontId="68" fillId="0" borderId="162" xfId="0" applyNumberFormat="1" applyFont="1" applyBorder="1" applyAlignment="1">
      <alignment horizontal="center" wrapText="1"/>
    </xf>
    <xf numFmtId="0" fontId="68" fillId="0" borderId="32" xfId="0" applyFont="1" applyBorder="1" applyAlignment="1">
      <alignment horizontal="center" wrapText="1"/>
    </xf>
    <xf numFmtId="0" fontId="68" fillId="0" borderId="163" xfId="0" applyFont="1" applyBorder="1" applyAlignment="1">
      <alignment horizontal="center" wrapText="1"/>
    </xf>
    <xf numFmtId="0" fontId="68" fillId="0" borderId="199" xfId="0" applyFont="1" applyBorder="1" applyAlignment="1">
      <alignment horizontal="center" wrapText="1"/>
    </xf>
    <xf numFmtId="0" fontId="68" fillId="0" borderId="163" xfId="0" applyFont="1" applyBorder="1" applyAlignment="1">
      <alignment horizontal="center" vertical="center" wrapText="1"/>
    </xf>
    <xf numFmtId="0" fontId="68" fillId="0" borderId="199" xfId="0" applyFont="1" applyBorder="1" applyAlignment="1">
      <alignment horizontal="center" vertical="center" wrapText="1"/>
    </xf>
    <xf numFmtId="0" fontId="68" fillId="0" borderId="33" xfId="0" applyFont="1" applyBorder="1" applyAlignment="1">
      <alignment horizontal="center" wrapText="1"/>
    </xf>
    <xf numFmtId="0" fontId="68" fillId="0" borderId="26" xfId="0" applyFont="1" applyBorder="1" applyAlignment="1">
      <alignment horizontal="center" wrapText="1"/>
    </xf>
    <xf numFmtId="0" fontId="68" fillId="0" borderId="27" xfId="0" applyFont="1" applyBorder="1" applyAlignment="1">
      <alignment horizontal="center" wrapText="1"/>
    </xf>
    <xf numFmtId="182" fontId="101" fillId="0" borderId="0" xfId="0" applyNumberFormat="1" applyFont="1" applyAlignment="1">
      <alignment horizontal="left"/>
    </xf>
    <xf numFmtId="189" fontId="6" fillId="0" borderId="4" xfId="0" applyNumberFormat="1" applyFont="1" applyBorder="1" applyAlignment="1">
      <alignment horizontal="center"/>
    </xf>
    <xf numFmtId="0" fontId="6" fillId="0" borderId="189" xfId="0" applyFont="1" applyBorder="1"/>
    <xf numFmtId="167" fontId="6" fillId="0" borderId="78" xfId="0" applyNumberFormat="1" applyFont="1" applyBorder="1"/>
    <xf numFmtId="167" fontId="6" fillId="0" borderId="23" xfId="0" applyNumberFormat="1" applyFont="1" applyBorder="1" applyAlignment="1">
      <alignment horizontal="right"/>
    </xf>
    <xf numFmtId="9" fontId="12" fillId="0" borderId="68" xfId="0" applyNumberFormat="1" applyFont="1" applyBorder="1" applyAlignment="1">
      <alignment horizontal="left" vertical="top" wrapText="1"/>
    </xf>
    <xf numFmtId="9" fontId="12" fillId="0" borderId="69" xfId="0" applyNumberFormat="1" applyFont="1" applyBorder="1" applyAlignment="1">
      <alignment horizontal="center"/>
    </xf>
    <xf numFmtId="9" fontId="12" fillId="0" borderId="71" xfId="0" applyNumberFormat="1" applyFont="1" applyBorder="1" applyAlignment="1">
      <alignment horizontal="center"/>
    </xf>
    <xf numFmtId="10" fontId="12" fillId="0" borderId="71" xfId="0" applyNumberFormat="1" applyFont="1" applyBorder="1" applyAlignment="1">
      <alignment horizontal="center"/>
    </xf>
    <xf numFmtId="9" fontId="12" fillId="0" borderId="69" xfId="0" applyNumberFormat="1" applyFont="1" applyBorder="1" applyAlignment="1">
      <alignment horizontal="center" vertical="top" wrapText="1"/>
    </xf>
    <xf numFmtId="0" fontId="12" fillId="0" borderId="68" xfId="0" applyFont="1" applyBorder="1" applyAlignment="1">
      <alignment horizontal="center"/>
    </xf>
    <xf numFmtId="0" fontId="6" fillId="0" borderId="37" xfId="0" applyFont="1" applyBorder="1"/>
    <xf numFmtId="9" fontId="6" fillId="0" borderId="39" xfId="0" applyNumberFormat="1" applyFont="1" applyBorder="1"/>
    <xf numFmtId="0" fontId="6" fillId="0" borderId="68" xfId="0" applyFont="1" applyBorder="1"/>
    <xf numFmtId="9" fontId="6" fillId="0" borderId="69" xfId="0" applyNumberFormat="1" applyFont="1" applyBorder="1"/>
    <xf numFmtId="9" fontId="6" fillId="0" borderId="71" xfId="0" applyNumberFormat="1" applyFont="1" applyBorder="1"/>
    <xf numFmtId="0" fontId="6" fillId="0" borderId="69" xfId="0" applyFont="1" applyBorder="1"/>
    <xf numFmtId="189" fontId="6" fillId="0" borderId="0" xfId="0" applyNumberFormat="1" applyFont="1" applyAlignment="1">
      <alignment horizontal="center"/>
    </xf>
    <xf numFmtId="167" fontId="6" fillId="0" borderId="16" xfId="0" applyNumberFormat="1" applyFont="1" applyBorder="1" applyAlignment="1">
      <alignment horizontal="center"/>
    </xf>
    <xf numFmtId="3" fontId="6" fillId="0" borderId="0" xfId="0" applyNumberFormat="1" applyFont="1" applyAlignment="1">
      <alignment horizontal="center"/>
    </xf>
    <xf numFmtId="167" fontId="25" fillId="0" borderId="83" xfId="0" applyNumberFormat="1" applyFont="1" applyBorder="1" applyAlignment="1">
      <alignment horizontal="right"/>
    </xf>
    <xf numFmtId="0" fontId="6" fillId="0" borderId="0" xfId="0" applyFont="1" applyAlignment="1">
      <alignment horizontal="right"/>
    </xf>
    <xf numFmtId="167" fontId="6" fillId="0" borderId="0" xfId="0" applyNumberFormat="1" applyFont="1" applyAlignment="1">
      <alignment horizontal="right"/>
    </xf>
    <xf numFmtId="167" fontId="6" fillId="0" borderId="4" xfId="0" applyNumberFormat="1" applyFont="1" applyBorder="1" applyAlignment="1">
      <alignment horizontal="right"/>
    </xf>
    <xf numFmtId="9" fontId="6" fillId="0" borderId="0" xfId="0" applyNumberFormat="1" applyFont="1"/>
    <xf numFmtId="167" fontId="6" fillId="0" borderId="191" xfId="0" applyNumberFormat="1" applyFont="1" applyBorder="1" applyAlignment="1">
      <alignment horizontal="center"/>
    </xf>
    <xf numFmtId="189" fontId="6" fillId="0" borderId="14" xfId="0" applyNumberFormat="1" applyFont="1" applyBorder="1" applyAlignment="1">
      <alignment horizontal="center"/>
    </xf>
    <xf numFmtId="167" fontId="6" fillId="0" borderId="14" xfId="0" applyNumberFormat="1" applyFont="1" applyBorder="1" applyAlignment="1">
      <alignment horizontal="center"/>
    </xf>
    <xf numFmtId="167" fontId="6" fillId="0" borderId="23" xfId="0" applyNumberFormat="1" applyFont="1" applyBorder="1" applyAlignment="1">
      <alignment horizontal="center"/>
    </xf>
    <xf numFmtId="3" fontId="25" fillId="0" borderId="83" xfId="0" applyNumberFormat="1" applyFont="1" applyBorder="1" applyAlignment="1">
      <alignment horizontal="center"/>
    </xf>
    <xf numFmtId="0" fontId="25" fillId="4" borderId="36" xfId="0" applyFont="1" applyFill="1" applyBorder="1" applyAlignment="1">
      <alignment horizontal="center"/>
    </xf>
    <xf numFmtId="0" fontId="25" fillId="0" borderId="0" xfId="0" applyFont="1" applyAlignment="1">
      <alignment horizontal="right" vertical="center"/>
    </xf>
    <xf numFmtId="167" fontId="6" fillId="0" borderId="24" xfId="0" applyNumberFormat="1" applyFont="1" applyBorder="1" applyAlignment="1">
      <alignment horizontal="center"/>
    </xf>
    <xf numFmtId="171" fontId="6" fillId="0" borderId="83" xfId="0" applyNumberFormat="1" applyFont="1" applyBorder="1" applyAlignment="1">
      <alignment horizontal="center"/>
    </xf>
    <xf numFmtId="167" fontId="6" fillId="0" borderId="21" xfId="0" applyNumberFormat="1" applyFont="1" applyBorder="1" applyAlignment="1">
      <alignment horizontal="center"/>
    </xf>
    <xf numFmtId="167" fontId="6" fillId="0" borderId="94" xfId="0" applyNumberFormat="1" applyFont="1" applyBorder="1" applyAlignment="1">
      <alignment horizontal="center"/>
    </xf>
    <xf numFmtId="167" fontId="25" fillId="0" borderId="19" xfId="0" applyNumberFormat="1" applyFont="1" applyBorder="1" applyAlignment="1">
      <alignment horizontal="center"/>
    </xf>
    <xf numFmtId="0" fontId="15" fillId="24" borderId="36" xfId="0" applyFont="1" applyFill="1" applyBorder="1"/>
    <xf numFmtId="0" fontId="102" fillId="0" borderId="0" xfId="0" applyFont="1"/>
    <xf numFmtId="3" fontId="6" fillId="32" borderId="4" xfId="0" applyNumberFormat="1" applyFont="1" applyFill="1" applyBorder="1" applyAlignment="1">
      <alignment horizontal="center"/>
    </xf>
    <xf numFmtId="189" fontId="6" fillId="0" borderId="4" xfId="0" applyNumberFormat="1" applyFont="1" applyBorder="1"/>
    <xf numFmtId="43" fontId="6" fillId="0" borderId="21" xfId="0" applyNumberFormat="1" applyFont="1" applyBorder="1"/>
    <xf numFmtId="170" fontId="6" fillId="0" borderId="4" xfId="0" applyNumberFormat="1" applyFont="1" applyBorder="1"/>
    <xf numFmtId="178" fontId="6" fillId="0" borderId="4" xfId="0" applyNumberFormat="1" applyFont="1" applyBorder="1" applyAlignment="1">
      <alignment horizontal="center"/>
    </xf>
    <xf numFmtId="43" fontId="6" fillId="0" borderId="4" xfId="0" applyNumberFormat="1" applyFont="1" applyBorder="1" applyAlignment="1">
      <alignment horizontal="center"/>
    </xf>
    <xf numFmtId="43" fontId="6" fillId="0" borderId="0" xfId="0" applyNumberFormat="1" applyFont="1" applyAlignment="1">
      <alignment horizontal="center"/>
    </xf>
    <xf numFmtId="192" fontId="6" fillId="0" borderId="4" xfId="0" applyNumberFormat="1" applyFont="1" applyBorder="1" applyAlignment="1">
      <alignment horizontal="center"/>
    </xf>
    <xf numFmtId="189" fontId="6" fillId="32" borderId="4" xfId="0" applyNumberFormat="1" applyFont="1" applyFill="1" applyBorder="1"/>
    <xf numFmtId="43" fontId="6" fillId="32" borderId="136" xfId="0" applyNumberFormat="1" applyFont="1" applyFill="1" applyBorder="1"/>
    <xf numFmtId="2" fontId="6" fillId="32" borderId="4" xfId="0" applyNumberFormat="1" applyFont="1" applyFill="1" applyBorder="1" applyAlignment="1">
      <alignment horizontal="center"/>
    </xf>
    <xf numFmtId="170" fontId="6" fillId="32" borderId="4" xfId="0" applyNumberFormat="1" applyFont="1" applyFill="1" applyBorder="1"/>
    <xf numFmtId="177" fontId="6" fillId="32" borderId="4" xfId="0" applyNumberFormat="1" applyFont="1" applyFill="1" applyBorder="1"/>
    <xf numFmtId="178" fontId="6" fillId="32" borderId="4" xfId="0" applyNumberFormat="1" applyFont="1" applyFill="1" applyBorder="1" applyAlignment="1">
      <alignment horizontal="center"/>
    </xf>
    <xf numFmtId="0" fontId="6" fillId="0" borderId="191" xfId="0" applyFont="1" applyBorder="1" applyAlignment="1">
      <alignment horizontal="center"/>
    </xf>
    <xf numFmtId="168" fontId="6" fillId="0" borderId="191" xfId="0" applyNumberFormat="1" applyFont="1" applyBorder="1"/>
    <xf numFmtId="170" fontId="6" fillId="0" borderId="0" xfId="0" applyNumberFormat="1" applyFont="1"/>
    <xf numFmtId="167" fontId="25" fillId="0" borderId="83" xfId="0" applyNumberFormat="1" applyFont="1" applyBorder="1"/>
    <xf numFmtId="170" fontId="25" fillId="0" borderId="83" xfId="0" applyNumberFormat="1" applyFont="1" applyBorder="1"/>
    <xf numFmtId="167" fontId="6" fillId="2" borderId="4" xfId="0" applyNumberFormat="1" applyFont="1" applyFill="1" applyBorder="1" applyAlignment="1">
      <alignment horizontal="center"/>
    </xf>
    <xf numFmtId="43" fontId="6" fillId="0" borderId="4" xfId="0" applyNumberFormat="1" applyFont="1" applyBorder="1"/>
    <xf numFmtId="177" fontId="6" fillId="0" borderId="4" xfId="0" applyNumberFormat="1" applyFont="1" applyBorder="1"/>
    <xf numFmtId="196" fontId="6" fillId="0" borderId="4" xfId="0" applyNumberFormat="1" applyFont="1" applyBorder="1"/>
    <xf numFmtId="177" fontId="6" fillId="0" borderId="0" xfId="0" applyNumberFormat="1" applyFont="1"/>
    <xf numFmtId="43" fontId="25" fillId="0" borderId="83" xfId="0" applyNumberFormat="1" applyFont="1" applyBorder="1"/>
    <xf numFmtId="177" fontId="25" fillId="0" borderId="83" xfId="0" applyNumberFormat="1" applyFont="1" applyBorder="1"/>
    <xf numFmtId="176" fontId="25" fillId="0" borderId="83" xfId="0" applyNumberFormat="1" applyFont="1" applyBorder="1"/>
    <xf numFmtId="0" fontId="7" fillId="24" borderId="36" xfId="0" applyFont="1" applyFill="1" applyBorder="1" applyAlignment="1">
      <alignment horizontal="left"/>
    </xf>
    <xf numFmtId="0" fontId="7" fillId="24" borderId="36" xfId="0" applyFont="1" applyFill="1" applyBorder="1" applyAlignment="1">
      <alignment horizontal="center"/>
    </xf>
    <xf numFmtId="0" fontId="16" fillId="0" borderId="200" xfId="0" applyFont="1" applyBorder="1"/>
    <xf numFmtId="0" fontId="16" fillId="0" borderId="201" xfId="0" applyFont="1" applyBorder="1" applyAlignment="1">
      <alignment horizontal="center" wrapText="1"/>
    </xf>
    <xf numFmtId="0" fontId="7" fillId="0" borderId="202" xfId="0" applyFont="1" applyBorder="1"/>
    <xf numFmtId="0" fontId="16" fillId="0" borderId="203" xfId="0" applyFont="1" applyBorder="1" applyAlignment="1">
      <alignment horizontal="center" vertical="center" wrapText="1"/>
    </xf>
    <xf numFmtId="0" fontId="7" fillId="0" borderId="204" xfId="0" applyFont="1" applyBorder="1"/>
    <xf numFmtId="170" fontId="7" fillId="0" borderId="0" xfId="0" applyNumberFormat="1" applyFont="1"/>
    <xf numFmtId="186" fontId="7" fillId="0" borderId="1" xfId="0" applyNumberFormat="1" applyFont="1" applyBorder="1"/>
    <xf numFmtId="170" fontId="7" fillId="0" borderId="205" xfId="0" applyNumberFormat="1" applyFont="1" applyBorder="1" applyAlignment="1">
      <alignment horizontal="center"/>
    </xf>
    <xf numFmtId="177" fontId="7" fillId="0" borderId="1" xfId="0" applyNumberFormat="1" applyFont="1" applyBorder="1"/>
    <xf numFmtId="180" fontId="12" fillId="0" borderId="0" xfId="0" applyNumberFormat="1" applyFont="1"/>
    <xf numFmtId="177" fontId="7" fillId="0" borderId="0" xfId="0" applyNumberFormat="1" applyFont="1"/>
    <xf numFmtId="0" fontId="16" fillId="14" borderId="206" xfId="0" applyFont="1" applyFill="1" applyBorder="1"/>
    <xf numFmtId="177" fontId="16" fillId="14" borderId="142" xfId="0" applyNumberFormat="1" applyFont="1" applyFill="1" applyBorder="1"/>
    <xf numFmtId="177" fontId="16" fillId="14" borderId="207" xfId="0" applyNumberFormat="1" applyFont="1" applyFill="1" applyBorder="1"/>
    <xf numFmtId="170" fontId="16" fillId="14" borderId="208" xfId="0" applyNumberFormat="1" applyFont="1" applyFill="1" applyBorder="1" applyAlignment="1">
      <alignment horizontal="center"/>
    </xf>
    <xf numFmtId="0" fontId="16" fillId="0" borderId="209" xfId="0" applyFont="1" applyBorder="1"/>
    <xf numFmtId="0" fontId="7" fillId="0" borderId="20" xfId="0" applyFont="1" applyBorder="1"/>
    <xf numFmtId="0" fontId="7" fillId="0" borderId="210" xfId="0" applyFont="1" applyBorder="1"/>
    <xf numFmtId="0" fontId="7" fillId="0" borderId="205" xfId="0" applyFont="1" applyBorder="1" applyAlignment="1">
      <alignment horizontal="center"/>
    </xf>
    <xf numFmtId="0" fontId="16" fillId="0" borderId="211" xfId="0" applyFont="1" applyBorder="1" applyAlignment="1">
      <alignment wrapText="1"/>
    </xf>
    <xf numFmtId="0" fontId="16" fillId="0" borderId="20" xfId="0" applyFont="1" applyBorder="1"/>
    <xf numFmtId="0" fontId="16" fillId="0" borderId="210" xfId="0" applyFont="1" applyBorder="1"/>
    <xf numFmtId="0" fontId="16" fillId="0" borderId="204" xfId="0" applyFont="1" applyBorder="1"/>
    <xf numFmtId="177" fontId="16" fillId="0" borderId="30" xfId="0" applyNumberFormat="1" applyFont="1" applyBorder="1"/>
    <xf numFmtId="177" fontId="16" fillId="0" borderId="212" xfId="0" applyNumberFormat="1" applyFont="1" applyBorder="1"/>
    <xf numFmtId="170" fontId="16" fillId="0" borderId="205" xfId="0" applyNumberFormat="1" applyFont="1" applyBorder="1" applyAlignment="1">
      <alignment horizontal="center"/>
    </xf>
    <xf numFmtId="0" fontId="7" fillId="0" borderId="204" xfId="0" applyFont="1" applyBorder="1" applyAlignment="1">
      <alignment horizontal="left"/>
    </xf>
    <xf numFmtId="0" fontId="16" fillId="0" borderId="204" xfId="0" applyFont="1" applyBorder="1" applyAlignment="1">
      <alignment horizontal="left"/>
    </xf>
    <xf numFmtId="177" fontId="16" fillId="0" borderId="0" xfId="0" applyNumberFormat="1" applyFont="1"/>
    <xf numFmtId="177" fontId="16" fillId="0" borderId="1" xfId="0" applyNumberFormat="1" applyFont="1" applyBorder="1"/>
    <xf numFmtId="0" fontId="7" fillId="0" borderId="1" xfId="0" applyFont="1" applyBorder="1"/>
    <xf numFmtId="0" fontId="7" fillId="0" borderId="205" xfId="0" applyFont="1" applyBorder="1"/>
    <xf numFmtId="0" fontId="16" fillId="0" borderId="112" xfId="0" applyFont="1" applyBorder="1"/>
    <xf numFmtId="0" fontId="16" fillId="0" borderId="213" xfId="0" applyFont="1" applyBorder="1"/>
    <xf numFmtId="0" fontId="16" fillId="0" borderId="214" xfId="0" applyFont="1" applyBorder="1"/>
    <xf numFmtId="167" fontId="16" fillId="0" borderId="0" xfId="0" applyNumberFormat="1" applyFont="1"/>
    <xf numFmtId="167" fontId="16" fillId="0" borderId="1" xfId="0" applyNumberFormat="1" applyFont="1" applyBorder="1"/>
    <xf numFmtId="167" fontId="16" fillId="0" borderId="205" xfId="0" applyNumberFormat="1" applyFont="1" applyBorder="1"/>
    <xf numFmtId="167" fontId="7" fillId="0" borderId="0" xfId="0" applyNumberFormat="1" applyFont="1"/>
    <xf numFmtId="167" fontId="7" fillId="0" borderId="1" xfId="0" applyNumberFormat="1" applyFont="1" applyBorder="1"/>
    <xf numFmtId="167" fontId="7" fillId="0" borderId="205" xfId="0" applyNumberFormat="1" applyFont="1" applyBorder="1"/>
    <xf numFmtId="189" fontId="7" fillId="0" borderId="205" xfId="0" applyNumberFormat="1" applyFont="1" applyBorder="1"/>
    <xf numFmtId="0" fontId="23" fillId="0" borderId="204" xfId="0" applyFont="1" applyBorder="1" applyAlignment="1">
      <alignment horizontal="left"/>
    </xf>
    <xf numFmtId="167" fontId="16" fillId="0" borderId="20" xfId="0" applyNumberFormat="1" applyFont="1" applyBorder="1"/>
    <xf numFmtId="167" fontId="16" fillId="0" borderId="210" xfId="0" applyNumberFormat="1" applyFont="1" applyBorder="1"/>
    <xf numFmtId="167" fontId="16" fillId="0" borderId="215" xfId="0" applyNumberFormat="1" applyFont="1" applyBorder="1"/>
    <xf numFmtId="0" fontId="103" fillId="13" borderId="4" xfId="0" applyFont="1" applyFill="1" applyBorder="1"/>
    <xf numFmtId="0" fontId="5" fillId="13" borderId="4" xfId="0" applyFont="1" applyFill="1" applyBorder="1"/>
    <xf numFmtId="0" fontId="104" fillId="12" borderId="4" xfId="0" applyFont="1" applyFill="1" applyBorder="1" applyAlignment="1">
      <alignment horizontal="center" wrapText="1"/>
    </xf>
    <xf numFmtId="0" fontId="5" fillId="12" borderId="4" xfId="0" applyFont="1" applyFill="1" applyBorder="1"/>
    <xf numFmtId="0" fontId="105" fillId="0" borderId="4" xfId="0" applyFont="1" applyBorder="1" applyAlignment="1">
      <alignment horizontal="right" wrapText="1"/>
    </xf>
    <xf numFmtId="3" fontId="24" fillId="32" borderId="4" xfId="0" applyNumberFormat="1" applyFont="1" applyFill="1" applyBorder="1" applyAlignment="1">
      <alignment horizontal="center" wrapText="1"/>
    </xf>
    <xf numFmtId="0" fontId="12" fillId="0" borderId="4" xfId="0" applyFont="1" applyBorder="1" applyAlignment="1">
      <alignment horizontal="right" wrapText="1"/>
    </xf>
    <xf numFmtId="4" fontId="12" fillId="0" borderId="4" xfId="0" applyNumberFormat="1" applyFont="1" applyBorder="1" applyAlignment="1">
      <alignment horizontal="center" wrapText="1"/>
    </xf>
    <xf numFmtId="173" fontId="68" fillId="0" borderId="4" xfId="0" applyNumberFormat="1" applyFont="1" applyBorder="1" applyAlignment="1">
      <alignment horizontal="center" wrapText="1"/>
    </xf>
    <xf numFmtId="0" fontId="5" fillId="0" borderId="216" xfId="0" applyFont="1" applyBorder="1"/>
    <xf numFmtId="0" fontId="106" fillId="12" borderId="4" xfId="0" applyFont="1" applyFill="1" applyBorder="1"/>
    <xf numFmtId="0" fontId="27" fillId="15" borderId="4" xfId="0" applyFont="1" applyFill="1" applyBorder="1" applyAlignment="1">
      <alignment horizontal="center" wrapText="1"/>
    </xf>
    <xf numFmtId="0" fontId="5" fillId="15" borderId="4" xfId="0" applyFont="1" applyFill="1" applyBorder="1"/>
    <xf numFmtId="173" fontId="5" fillId="0" borderId="4" xfId="0" applyNumberFormat="1" applyFont="1" applyBorder="1" applyAlignment="1">
      <alignment horizontal="center"/>
    </xf>
    <xf numFmtId="0" fontId="107" fillId="0" borderId="4" xfId="0" applyFont="1" applyBorder="1" applyAlignment="1">
      <alignment horizontal="right" wrapText="1"/>
    </xf>
    <xf numFmtId="0" fontId="107" fillId="0" borderId="4" xfId="0" applyFont="1" applyBorder="1" applyAlignment="1">
      <alignment wrapText="1"/>
    </xf>
    <xf numFmtId="0" fontId="1" fillId="6" borderId="4" xfId="0" applyFont="1" applyFill="1" applyBorder="1" applyAlignment="1">
      <alignment horizontal="right" wrapText="1"/>
    </xf>
    <xf numFmtId="0" fontId="1" fillId="0" borderId="4" xfId="0" applyFont="1" applyBorder="1" applyAlignment="1">
      <alignment horizontal="right" wrapText="1"/>
    </xf>
    <xf numFmtId="3" fontId="1" fillId="0" borderId="4" xfId="0" applyNumberFormat="1" applyFont="1" applyBorder="1" applyAlignment="1">
      <alignment horizontal="right" wrapText="1"/>
    </xf>
    <xf numFmtId="173" fontId="1" fillId="0" borderId="23" xfId="0" applyNumberFormat="1" applyFont="1" applyBorder="1" applyAlignment="1">
      <alignment horizontal="center" wrapText="1"/>
    </xf>
    <xf numFmtId="3" fontId="1" fillId="0" borderId="2" xfId="0" applyNumberFormat="1" applyFont="1" applyBorder="1" applyAlignment="1">
      <alignment horizontal="right" wrapText="1"/>
    </xf>
    <xf numFmtId="173" fontId="1" fillId="0" borderId="4" xfId="0" applyNumberFormat="1" applyFont="1" applyBorder="1" applyAlignment="1">
      <alignment horizontal="center" wrapText="1"/>
    </xf>
    <xf numFmtId="0" fontId="108" fillId="0" borderId="0" xfId="0" applyFont="1"/>
    <xf numFmtId="173" fontId="109" fillId="0" borderId="217" xfId="0" applyNumberFormat="1" applyFont="1" applyBorder="1" applyAlignment="1">
      <alignment horizontal="center"/>
    </xf>
    <xf numFmtId="0" fontId="154" fillId="0" borderId="0" xfId="0" applyFont="1"/>
    <xf numFmtId="0" fontId="7" fillId="0" borderId="170" xfId="0" applyFont="1" applyBorder="1" applyAlignment="1">
      <alignment horizontal="right"/>
    </xf>
    <xf numFmtId="0" fontId="5" fillId="0" borderId="170" xfId="0" applyFont="1" applyBorder="1"/>
    <xf numFmtId="0" fontId="6" fillId="2" borderId="170" xfId="0" applyFont="1" applyFill="1" applyBorder="1" applyAlignment="1">
      <alignment horizontal="center"/>
    </xf>
    <xf numFmtId="0" fontId="9" fillId="0" borderId="170" xfId="0" applyFont="1" applyBorder="1" applyAlignment="1">
      <alignment horizontal="left"/>
    </xf>
    <xf numFmtId="0" fontId="7" fillId="0" borderId="142" xfId="0" applyFont="1" applyBorder="1" applyAlignment="1">
      <alignment horizontal="right"/>
    </xf>
    <xf numFmtId="3" fontId="7" fillId="0" borderId="219" xfId="0" applyNumberFormat="1" applyFont="1" applyBorder="1" applyAlignment="1">
      <alignment horizontal="center"/>
    </xf>
    <xf numFmtId="0" fontId="7" fillId="0" borderId="219" xfId="0" applyFont="1" applyBorder="1" applyAlignment="1">
      <alignment horizontal="center"/>
    </xf>
    <xf numFmtId="0" fontId="6" fillId="0" borderId="170" xfId="0" applyFont="1" applyBorder="1"/>
    <xf numFmtId="0" fontId="16" fillId="11" borderId="219" xfId="0" applyFont="1" applyFill="1" applyBorder="1" applyAlignment="1">
      <alignment horizontal="center" wrapText="1"/>
    </xf>
    <xf numFmtId="171" fontId="22" fillId="0" borderId="0" xfId="0" applyNumberFormat="1" applyFont="1" applyAlignment="1">
      <alignment horizontal="right"/>
    </xf>
    <xf numFmtId="171" fontId="6" fillId="0" borderId="0" xfId="0" applyNumberFormat="1" applyFont="1"/>
    <xf numFmtId="171" fontId="24" fillId="0" borderId="0" xfId="0" applyNumberFormat="1" applyFont="1" applyAlignment="1">
      <alignment horizontal="right"/>
    </xf>
    <xf numFmtId="0" fontId="26" fillId="0" borderId="0" xfId="0" applyFont="1" applyAlignment="1">
      <alignment horizontal="right"/>
    </xf>
    <xf numFmtId="0" fontId="27" fillId="0" borderId="0" xfId="0" applyFont="1" applyAlignment="1">
      <alignment horizontal="right"/>
    </xf>
    <xf numFmtId="173" fontId="25" fillId="0" borderId="0" xfId="0" applyNumberFormat="1" applyFont="1" applyAlignment="1">
      <alignment horizontal="center"/>
    </xf>
    <xf numFmtId="173" fontId="6" fillId="0" borderId="0" xfId="0" applyNumberFormat="1" applyFont="1"/>
    <xf numFmtId="174" fontId="25" fillId="0" borderId="0" xfId="0" applyNumberFormat="1" applyFont="1" applyAlignment="1">
      <alignment horizontal="center"/>
    </xf>
    <xf numFmtId="174" fontId="6" fillId="0" borderId="0" xfId="0" applyNumberFormat="1" applyFont="1"/>
    <xf numFmtId="174" fontId="6" fillId="0" borderId="0" xfId="0" applyNumberFormat="1" applyFont="1" applyAlignment="1">
      <alignment horizontal="center"/>
    </xf>
    <xf numFmtId="173" fontId="6" fillId="0" borderId="0" xfId="0" applyNumberFormat="1" applyFont="1" applyAlignment="1">
      <alignment horizontal="center"/>
    </xf>
    <xf numFmtId="0" fontId="28" fillId="0" borderId="0" xfId="0" applyFont="1" applyAlignment="1">
      <alignment horizontal="center"/>
    </xf>
    <xf numFmtId="3" fontId="7" fillId="0" borderId="0" xfId="0" applyNumberFormat="1" applyFont="1" applyAlignment="1">
      <alignment horizontal="right"/>
    </xf>
    <xf numFmtId="3" fontId="16" fillId="0" borderId="0" xfId="0" applyNumberFormat="1" applyFont="1" applyAlignment="1">
      <alignment horizontal="right" wrapText="1"/>
    </xf>
    <xf numFmtId="3" fontId="7" fillId="0" borderId="0" xfId="0" applyNumberFormat="1" applyFont="1" applyAlignment="1">
      <alignment horizontal="right" wrapText="1"/>
    </xf>
    <xf numFmtId="175" fontId="16" fillId="0" borderId="0" xfId="0" applyNumberFormat="1" applyFont="1" applyAlignment="1">
      <alignment horizontal="right" wrapText="1"/>
    </xf>
    <xf numFmtId="175" fontId="6" fillId="0" borderId="0" xfId="0" applyNumberFormat="1" applyFont="1"/>
    <xf numFmtId="175" fontId="7" fillId="0" borderId="0" xfId="0" applyNumberFormat="1" applyFont="1" applyAlignment="1">
      <alignment horizontal="right" wrapText="1"/>
    </xf>
    <xf numFmtId="0" fontId="29" fillId="0" borderId="0" xfId="0" applyFont="1"/>
    <xf numFmtId="3" fontId="155" fillId="0" borderId="22" xfId="0" applyNumberFormat="1" applyFont="1" applyBorder="1" applyAlignment="1">
      <alignment horizontal="center"/>
    </xf>
    <xf numFmtId="0" fontId="164" fillId="0" borderId="222" xfId="0" applyFont="1" applyBorder="1"/>
    <xf numFmtId="0" fontId="165" fillId="0" borderId="223" xfId="0" applyFont="1" applyBorder="1"/>
    <xf numFmtId="1" fontId="164" fillId="4" borderId="224" xfId="0" applyNumberFormat="1" applyFont="1" applyFill="1" applyBorder="1" applyAlignment="1">
      <alignment horizontal="center"/>
    </xf>
    <xf numFmtId="176" fontId="161" fillId="4" borderId="226" xfId="0" applyNumberFormat="1" applyFont="1" applyFill="1" applyBorder="1" applyAlignment="1">
      <alignment horizontal="center"/>
    </xf>
    <xf numFmtId="0" fontId="164" fillId="0" borderId="227" xfId="0" applyFont="1" applyBorder="1"/>
    <xf numFmtId="0" fontId="161" fillId="0" borderId="228" xfId="0" applyFont="1" applyBorder="1"/>
    <xf numFmtId="176" fontId="164" fillId="4" borderId="226" xfId="0" applyNumberFormat="1" applyFont="1" applyFill="1" applyBorder="1" applyAlignment="1">
      <alignment horizontal="center"/>
    </xf>
    <xf numFmtId="0" fontId="161" fillId="0" borderId="229" xfId="0" applyFont="1" applyBorder="1"/>
    <xf numFmtId="0" fontId="161" fillId="0" borderId="193" xfId="0" applyFont="1" applyBorder="1"/>
    <xf numFmtId="0" fontId="161" fillId="0" borderId="230" xfId="0" applyFont="1" applyBorder="1"/>
    <xf numFmtId="0" fontId="165" fillId="0" borderId="193" xfId="0" applyFont="1" applyBorder="1"/>
    <xf numFmtId="0" fontId="161" fillId="0" borderId="193" xfId="0" applyFont="1" applyBorder="1" applyAlignment="1">
      <alignment horizontal="left" indent="2"/>
    </xf>
    <xf numFmtId="176" fontId="161" fillId="0" borderId="226" xfId="0" applyNumberFormat="1" applyFont="1" applyBorder="1" applyAlignment="1">
      <alignment horizontal="center"/>
    </xf>
    <xf numFmtId="0" fontId="161" fillId="0" borderId="231" xfId="0" applyFont="1" applyBorder="1"/>
    <xf numFmtId="0" fontId="161" fillId="0" borderId="193" xfId="0" applyFont="1" applyBorder="1" applyAlignment="1">
      <alignment horizontal="left"/>
    </xf>
    <xf numFmtId="0" fontId="164" fillId="0" borderId="228" xfId="0" applyFont="1" applyBorder="1"/>
    <xf numFmtId="176" fontId="164" fillId="4" borderId="226" xfId="0" applyNumberFormat="1" applyFont="1" applyFill="1" applyBorder="1" applyAlignment="1">
      <alignment horizontal="center" wrapText="1"/>
    </xf>
    <xf numFmtId="0" fontId="164" fillId="0" borderId="232" xfId="0" applyFont="1" applyBorder="1"/>
    <xf numFmtId="0" fontId="164" fillId="0" borderId="193" xfId="0" applyFont="1" applyBorder="1"/>
    <xf numFmtId="0" fontId="164" fillId="0" borderId="233" xfId="0" applyFont="1" applyBorder="1"/>
    <xf numFmtId="0" fontId="165" fillId="0" borderId="18" xfId="0" applyFont="1" applyBorder="1"/>
    <xf numFmtId="10" fontId="166" fillId="0" borderId="226" xfId="0" applyNumberFormat="1" applyFont="1" applyBorder="1"/>
    <xf numFmtId="176" fontId="166" fillId="0" borderId="226" xfId="0" applyNumberFormat="1" applyFont="1" applyBorder="1" applyAlignment="1">
      <alignment horizontal="center"/>
    </xf>
    <xf numFmtId="176" fontId="161" fillId="36" borderId="226" xfId="0" applyNumberFormat="1" applyFont="1" applyFill="1" applyBorder="1" applyAlignment="1">
      <alignment horizontal="center"/>
    </xf>
    <xf numFmtId="165" fontId="161" fillId="0" borderId="234" xfId="0" applyNumberFormat="1" applyFont="1" applyBorder="1"/>
    <xf numFmtId="0" fontId="161" fillId="0" borderId="0" xfId="0" applyFont="1"/>
    <xf numFmtId="0" fontId="155" fillId="0" borderId="235" xfId="0" applyFont="1" applyBorder="1"/>
    <xf numFmtId="0" fontId="167" fillId="9" borderId="236" xfId="0" applyFont="1" applyFill="1" applyBorder="1" applyAlignment="1">
      <alignment horizontal="center"/>
    </xf>
    <xf numFmtId="0" fontId="167" fillId="9" borderId="237" xfId="0" applyFont="1" applyFill="1" applyBorder="1" applyAlignment="1">
      <alignment horizontal="center"/>
    </xf>
    <xf numFmtId="0" fontId="155" fillId="0" borderId="238" xfId="0" applyFont="1" applyBorder="1"/>
    <xf numFmtId="176" fontId="155" fillId="0" borderId="239" xfId="0" applyNumberFormat="1" applyFont="1" applyBorder="1" applyAlignment="1">
      <alignment horizontal="center"/>
    </xf>
    <xf numFmtId="0" fontId="155" fillId="0" borderId="240" xfId="0" applyFont="1" applyBorder="1"/>
    <xf numFmtId="176" fontId="155" fillId="0" borderId="241" xfId="0" applyNumberFormat="1" applyFont="1" applyBorder="1" applyAlignment="1">
      <alignment horizontal="center"/>
    </xf>
    <xf numFmtId="176" fontId="155" fillId="0" borderId="242" xfId="0" applyNumberFormat="1" applyFont="1" applyBorder="1" applyAlignment="1">
      <alignment horizontal="center"/>
    </xf>
    <xf numFmtId="0" fontId="161" fillId="0" borderId="243" xfId="0" applyFont="1" applyBorder="1"/>
    <xf numFmtId="0" fontId="168" fillId="0" borderId="0" xfId="0" applyFont="1" applyAlignment="1">
      <alignment horizontal="left"/>
    </xf>
    <xf numFmtId="0" fontId="168" fillId="0" borderId="0" xfId="0" applyFont="1" applyAlignment="1">
      <alignment horizontal="right"/>
    </xf>
    <xf numFmtId="176" fontId="0" fillId="0" borderId="0" xfId="0" applyNumberFormat="1"/>
    <xf numFmtId="0" fontId="164" fillId="0" borderId="232" xfId="0" applyFont="1" applyBorder="1"/>
    <xf numFmtId="0" fontId="158" fillId="0" borderId="9" xfId="0" applyFont="1" applyBorder="1"/>
    <xf numFmtId="0" fontId="164" fillId="0" borderId="233" xfId="0" applyFont="1" applyBorder="1"/>
    <xf numFmtId="0" fontId="158" fillId="0" borderId="18" xfId="0" applyFont="1" applyBorder="1"/>
    <xf numFmtId="0" fontId="7" fillId="2" borderId="219" xfId="0" applyFont="1" applyFill="1" applyBorder="1" applyAlignment="1">
      <alignment horizontal="center"/>
    </xf>
    <xf numFmtId="3" fontId="7" fillId="0" borderId="219" xfId="0" applyNumberFormat="1" applyFont="1" applyBorder="1" applyAlignment="1">
      <alignment horizontal="center"/>
    </xf>
    <xf numFmtId="0" fontId="156" fillId="3" borderId="220" xfId="0" applyFont="1" applyFill="1" applyBorder="1"/>
    <xf numFmtId="0" fontId="158" fillId="0" borderId="221" xfId="0" applyFont="1" applyBorder="1"/>
    <xf numFmtId="0" fontId="161" fillId="0" borderId="225" xfId="0" applyFont="1" applyBorder="1"/>
    <xf numFmtId="0" fontId="158" fillId="0" borderId="91" xfId="0" applyFont="1" applyBorder="1"/>
    <xf numFmtId="0" fontId="38" fillId="0" borderId="0" xfId="0" applyFont="1"/>
    <xf numFmtId="0" fontId="0" fillId="0" borderId="0" xfId="0"/>
    <xf numFmtId="0" fontId="33" fillId="0" borderId="0" xfId="0" applyFont="1"/>
    <xf numFmtId="0" fontId="40" fillId="0" borderId="0" xfId="0" applyFont="1"/>
    <xf numFmtId="0" fontId="6" fillId="2" borderId="2" xfId="0" applyFont="1" applyFill="1" applyBorder="1" applyAlignment="1">
      <alignment horizontal="center"/>
    </xf>
    <xf numFmtId="0" fontId="8" fillId="0" borderId="3" xfId="0" applyFont="1" applyBorder="1"/>
    <xf numFmtId="0" fontId="54" fillId="0" borderId="0" xfId="0" applyFont="1"/>
    <xf numFmtId="0" fontId="51" fillId="0" borderId="26" xfId="0" applyFont="1" applyBorder="1"/>
    <xf numFmtId="0" fontId="8" fillId="0" borderId="32" xfId="0" applyFont="1" applyBorder="1"/>
    <xf numFmtId="0" fontId="8" fillId="0" borderId="56" xfId="0" applyFont="1" applyBorder="1"/>
    <xf numFmtId="0" fontId="51" fillId="6" borderId="64" xfId="0" applyFont="1" applyFill="1" applyBorder="1"/>
    <xf numFmtId="0" fontId="8" fillId="0" borderId="65" xfId="0" applyFont="1" applyBorder="1"/>
    <xf numFmtId="167" fontId="51" fillId="24" borderId="64" xfId="0" applyNumberFormat="1" applyFont="1" applyFill="1" applyBorder="1"/>
    <xf numFmtId="0" fontId="8" fillId="0" borderId="66" xfId="0" applyFont="1" applyBorder="1"/>
    <xf numFmtId="0" fontId="51" fillId="24" borderId="64" xfId="0" applyFont="1" applyFill="1" applyBorder="1"/>
    <xf numFmtId="0" fontId="56" fillId="0" borderId="68" xfId="0" applyFont="1" applyBorder="1"/>
    <xf numFmtId="0" fontId="8" fillId="0" borderId="69" xfId="0" applyFont="1" applyBorder="1"/>
    <xf numFmtId="0" fontId="8" fillId="0" borderId="70" xfId="0" applyFont="1" applyBorder="1"/>
    <xf numFmtId="0" fontId="55" fillId="0" borderId="68" xfId="0" applyFont="1" applyBorder="1"/>
    <xf numFmtId="0" fontId="51" fillId="0" borderId="53" xfId="0" applyFont="1" applyBorder="1"/>
    <xf numFmtId="0" fontId="8" fillId="0" borderId="46" xfId="0" applyFont="1" applyBorder="1"/>
    <xf numFmtId="0" fontId="51" fillId="0" borderId="37" xfId="0" applyFont="1" applyBorder="1" applyAlignment="1">
      <alignment horizontal="center"/>
    </xf>
    <xf numFmtId="0" fontId="8" fillId="0" borderId="38" xfId="0" applyFont="1" applyBorder="1"/>
    <xf numFmtId="0" fontId="8" fillId="0" borderId="77" xfId="0" applyFont="1" applyBorder="1"/>
    <xf numFmtId="0" fontId="58" fillId="0" borderId="0" xfId="0" applyFont="1"/>
    <xf numFmtId="0" fontId="66" fillId="0" borderId="0" xfId="0" applyFont="1" applyAlignment="1">
      <alignment horizontal="left" wrapText="1"/>
    </xf>
    <xf numFmtId="0" fontId="73" fillId="29" borderId="114" xfId="0" applyFont="1" applyFill="1" applyBorder="1" applyAlignment="1">
      <alignment horizontal="center" wrapText="1"/>
    </xf>
    <xf numFmtId="0" fontId="8" fillId="0" borderId="19" xfId="0" applyFont="1" applyBorder="1"/>
    <xf numFmtId="0" fontId="50" fillId="0" borderId="114" xfId="0" applyFont="1" applyBorder="1" applyAlignment="1">
      <alignment horizontal="center" wrapText="1"/>
    </xf>
    <xf numFmtId="0" fontId="50" fillId="0" borderId="107" xfId="0" applyFont="1" applyBorder="1"/>
    <xf numFmtId="0" fontId="8" fillId="0" borderId="60" xfId="0" applyFont="1" applyBorder="1"/>
    <xf numFmtId="0" fontId="10" fillId="0" borderId="32" xfId="0" applyFont="1" applyBorder="1"/>
    <xf numFmtId="181" fontId="10" fillId="14" borderId="118" xfId="0" applyNumberFormat="1" applyFont="1" applyFill="1" applyBorder="1" applyAlignment="1">
      <alignment horizontal="left"/>
    </xf>
    <xf numFmtId="0" fontId="8" fillId="0" borderId="119" xfId="0" applyFont="1" applyBorder="1"/>
    <xf numFmtId="0" fontId="5" fillId="0" borderId="32" xfId="0" applyFont="1" applyBorder="1"/>
    <xf numFmtId="181" fontId="5" fillId="0" borderId="107" xfId="0" applyNumberFormat="1" applyFont="1" applyBorder="1" applyAlignment="1">
      <alignment horizontal="left"/>
    </xf>
    <xf numFmtId="0" fontId="10" fillId="7" borderId="121" xfId="0" applyFont="1" applyFill="1" applyBorder="1"/>
    <xf numFmtId="0" fontId="8" fillId="0" borderId="122" xfId="0" applyFont="1" applyBorder="1"/>
    <xf numFmtId="0" fontId="8" fillId="0" borderId="123" xfId="0" applyFont="1" applyBorder="1"/>
    <xf numFmtId="0" fontId="10" fillId="0" borderId="34" xfId="0" applyFont="1" applyBorder="1"/>
    <xf numFmtId="0" fontId="8" fillId="0" borderId="25" xfId="0" applyFont="1" applyBorder="1"/>
    <xf numFmtId="0" fontId="5" fillId="0" borderId="20" xfId="0" applyFont="1" applyBorder="1"/>
    <xf numFmtId="0" fontId="8" fillId="0" borderId="20" xfId="0" applyFont="1" applyBorder="1"/>
    <xf numFmtId="0" fontId="73" fillId="29" borderId="118" xfId="0" applyFont="1" applyFill="1" applyBorder="1" applyAlignment="1">
      <alignment horizontal="center" vertical="center" wrapText="1"/>
    </xf>
    <xf numFmtId="0" fontId="50" fillId="0" borderId="108" xfId="0" applyFont="1" applyBorder="1"/>
    <xf numFmtId="167" fontId="50" fillId="0" borderId="108" xfId="0" applyNumberFormat="1" applyFont="1" applyBorder="1"/>
    <xf numFmtId="167" fontId="50" fillId="0" borderId="107" xfId="0" applyNumberFormat="1" applyFont="1" applyBorder="1"/>
    <xf numFmtId="0" fontId="50" fillId="0" borderId="32" xfId="0" applyFont="1" applyBorder="1"/>
    <xf numFmtId="181" fontId="50" fillId="0" borderId="107" xfId="0" applyNumberFormat="1" applyFont="1" applyBorder="1" applyAlignment="1">
      <alignment horizontal="left"/>
    </xf>
    <xf numFmtId="0" fontId="50" fillId="0" borderId="56" xfId="0" applyFont="1" applyBorder="1"/>
    <xf numFmtId="0" fontId="8" fillId="0" borderId="9" xfId="0" applyFont="1" applyBorder="1"/>
    <xf numFmtId="181" fontId="50" fillId="0" borderId="115" xfId="0" applyNumberFormat="1" applyFont="1" applyBorder="1" applyAlignment="1">
      <alignment horizontal="left"/>
    </xf>
    <xf numFmtId="0" fontId="50" fillId="0" borderId="20" xfId="0" applyFont="1" applyBorder="1"/>
    <xf numFmtId="181" fontId="51" fillId="0" borderId="108" xfId="0" applyNumberFormat="1" applyFont="1" applyBorder="1"/>
    <xf numFmtId="181" fontId="50" fillId="0" borderId="103" xfId="0" applyNumberFormat="1" applyFont="1" applyBorder="1" applyAlignment="1">
      <alignment horizontal="left"/>
    </xf>
    <xf numFmtId="0" fontId="8" fillId="0" borderId="104" xfId="0" applyFont="1" applyBorder="1"/>
    <xf numFmtId="0" fontId="50" fillId="0" borderId="115" xfId="0" applyFont="1" applyBorder="1"/>
    <xf numFmtId="181" fontId="50" fillId="0" borderId="108" xfId="0" applyNumberFormat="1" applyFont="1" applyBorder="1" applyAlignment="1">
      <alignment horizontal="left"/>
    </xf>
    <xf numFmtId="0" fontId="2" fillId="28" borderId="116" xfId="0" applyFont="1" applyFill="1" applyBorder="1"/>
    <xf numFmtId="0" fontId="19" fillId="0" borderId="13" xfId="0" applyFont="1" applyBorder="1" applyAlignment="1">
      <alignment horizontal="center" wrapText="1"/>
    </xf>
    <xf numFmtId="0" fontId="12" fillId="0" borderId="0" xfId="0" applyFont="1" applyAlignment="1">
      <alignment wrapText="1"/>
    </xf>
    <xf numFmtId="0" fontId="33" fillId="0" borderId="112" xfId="0" applyFont="1" applyBorder="1"/>
    <xf numFmtId="0" fontId="8" fillId="0" borderId="112" xfId="0" applyFont="1" applyBorder="1"/>
    <xf numFmtId="0" fontId="8" fillId="0" borderId="185" xfId="0" applyFont="1" applyBorder="1"/>
    <xf numFmtId="0" fontId="12" fillId="0" borderId="0" xfId="0" applyFont="1"/>
    <xf numFmtId="0" fontId="66" fillId="0" borderId="0" xfId="0" applyFont="1"/>
    <xf numFmtId="0" fontId="68" fillId="2" borderId="197" xfId="0" applyFont="1" applyFill="1" applyBorder="1" applyAlignment="1">
      <alignment horizontal="center" vertical="top" wrapText="1"/>
    </xf>
    <xf numFmtId="0" fontId="8" fillId="0" borderId="198" xfId="0" applyFont="1" applyBorder="1"/>
    <xf numFmtId="0" fontId="25" fillId="0" borderId="0" xfId="0" applyFont="1" applyAlignment="1">
      <alignment horizontal="right" wrapText="1"/>
    </xf>
    <xf numFmtId="0" fontId="19" fillId="0" borderId="0" xfId="0" applyFont="1"/>
    <xf numFmtId="9" fontId="68" fillId="0" borderId="38" xfId="0" applyNumberFormat="1" applyFont="1" applyBorder="1" applyAlignment="1">
      <alignment horizontal="center"/>
    </xf>
    <xf numFmtId="0" fontId="68" fillId="0" borderId="0" xfId="0" applyFont="1" applyAlignment="1">
      <alignment horizontal="center"/>
    </xf>
    <xf numFmtId="0" fontId="68" fillId="0" borderId="38" xfId="0" applyFont="1" applyBorder="1" applyAlignment="1">
      <alignment horizontal="center" vertical="top" wrapText="1"/>
    </xf>
    <xf numFmtId="0" fontId="68" fillId="0" borderId="0" xfId="0" applyFont="1" applyAlignment="1">
      <alignment horizontal="center" vertical="top" wrapText="1"/>
    </xf>
    <xf numFmtId="0" fontId="169" fillId="37" borderId="2" xfId="0" applyFont="1" applyFill="1" applyBorder="1" applyAlignment="1">
      <alignment wrapText="1"/>
    </xf>
    <xf numFmtId="0" fontId="163" fillId="38" borderId="16" xfId="0" applyFont="1" applyFill="1" applyBorder="1"/>
    <xf numFmtId="0" fontId="163" fillId="38" borderId="3" xfId="0" applyFont="1" applyFill="1" applyBorder="1"/>
    <xf numFmtId="0" fontId="34" fillId="20" borderId="2" xfId="0" applyFont="1" applyFill="1" applyBorder="1"/>
    <xf numFmtId="0" fontId="8" fillId="0" borderId="16" xfId="0" applyFont="1" applyBorder="1"/>
    <xf numFmtId="0" fontId="36" fillId="0" borderId="2" xfId="0" applyFont="1" applyBorder="1"/>
    <xf numFmtId="0" fontId="83" fillId="0" borderId="2" xfId="0" applyFont="1" applyBorder="1"/>
    <xf numFmtId="0" fontId="36" fillId="34" borderId="2" xfId="0" applyFont="1" applyFill="1" applyBorder="1"/>
    <xf numFmtId="0" fontId="34" fillId="0" borderId="2" xfId="0" applyFont="1" applyBorder="1"/>
    <xf numFmtId="0" fontId="33" fillId="35" borderId="2" xfId="0" applyFont="1" applyFill="1" applyBorder="1"/>
    <xf numFmtId="0" fontId="35" fillId="0" borderId="2" xfId="0" applyFont="1" applyBorder="1"/>
    <xf numFmtId="0" fontId="36" fillId="14" borderId="2" xfId="0" applyFont="1" applyFill="1" applyBorder="1"/>
    <xf numFmtId="0" fontId="33" fillId="0" borderId="2" xfId="0" applyFont="1" applyBorder="1"/>
    <xf numFmtId="0" fontId="35" fillId="33" borderId="2" xfId="0" applyFont="1" applyFill="1" applyBorder="1"/>
    <xf numFmtId="0" fontId="37" fillId="0" borderId="2" xfId="0" applyFont="1" applyBorder="1"/>
    <xf numFmtId="0" fontId="36" fillId="33" borderId="2" xfId="0" applyFont="1" applyFill="1" applyBorder="1"/>
    <xf numFmtId="0" fontId="36" fillId="8" borderId="2" xfId="0" applyFont="1" applyFill="1" applyBorder="1"/>
    <xf numFmtId="0" fontId="36" fillId="30" borderId="2" xfId="0" applyFont="1" applyFill="1" applyBorder="1"/>
    <xf numFmtId="0" fontId="36" fillId="6" borderId="2" xfId="0" applyFont="1" applyFill="1" applyBorder="1"/>
    <xf numFmtId="3" fontId="33" fillId="0" borderId="2" xfId="0" applyNumberFormat="1" applyFont="1" applyBorder="1"/>
    <xf numFmtId="0" fontId="36" fillId="32" borderId="2" xfId="0" applyFont="1" applyFill="1" applyBorder="1"/>
    <xf numFmtId="3" fontId="36" fillId="20" borderId="2" xfId="0" applyNumberFormat="1" applyFont="1" applyFill="1" applyBorder="1"/>
    <xf numFmtId="3" fontId="36" fillId="0" borderId="2" xfId="0" applyNumberFormat="1" applyFont="1" applyBorder="1"/>
    <xf numFmtId="3" fontId="37" fillId="31" borderId="2" xfId="0" applyNumberFormat="1" applyFont="1" applyFill="1" applyBorder="1"/>
    <xf numFmtId="0" fontId="35" fillId="8" borderId="2" xfId="0" applyFont="1" applyFill="1" applyBorder="1"/>
    <xf numFmtId="3" fontId="37" fillId="0" borderId="2" xfId="0" applyNumberFormat="1" applyFont="1" applyBorder="1"/>
    <xf numFmtId="0" fontId="95" fillId="0" borderId="0" xfId="0" applyFont="1" applyAlignment="1">
      <alignment vertical="center"/>
    </xf>
    <xf numFmtId="0" fontId="19" fillId="0" borderId="0" xfId="0" applyFont="1" applyAlignment="1">
      <alignment horizontal="left" wrapText="1"/>
    </xf>
    <xf numFmtId="0" fontId="16" fillId="11" borderId="14" xfId="0" applyFont="1" applyFill="1" applyBorder="1"/>
    <xf numFmtId="0" fontId="8" fillId="0" borderId="14" xfId="0" applyFont="1" applyBorder="1"/>
    <xf numFmtId="0" fontId="16" fillId="0" borderId="14" xfId="0" applyFont="1" applyBorder="1"/>
    <xf numFmtId="0" fontId="8" fillId="0" borderId="22" xfId="0" applyFont="1" applyBorder="1"/>
    <xf numFmtId="0" fontId="16" fillId="19" borderId="14" xfId="0" applyFont="1" applyFill="1" applyBorder="1" applyAlignment="1">
      <alignment horizontal="center"/>
    </xf>
    <xf numFmtId="0" fontId="7" fillId="0" borderId="14" xfId="0" applyFont="1" applyBorder="1"/>
    <xf numFmtId="0" fontId="159" fillId="9" borderId="193" xfId="0" applyFont="1" applyFill="1" applyBorder="1"/>
    <xf numFmtId="0" fontId="160" fillId="0" borderId="218" xfId="0" applyFont="1" applyBorder="1"/>
    <xf numFmtId="0" fontId="160" fillId="0" borderId="3" xfId="0" applyFont="1" applyBorder="1"/>
    <xf numFmtId="0" fontId="6" fillId="2" borderId="14" xfId="0" applyFont="1" applyFill="1" applyBorder="1" applyAlignment="1">
      <alignment horizontal="center"/>
    </xf>
    <xf numFmtId="0" fontId="21" fillId="0" borderId="0" xfId="0" applyFont="1"/>
    <xf numFmtId="0" fontId="11" fillId="0" borderId="0" xfId="0" applyFont="1"/>
  </cellXfs>
  <cellStyles count="1">
    <cellStyle name="Normal" xfId="0" builtinId="0"/>
  </cellStyles>
  <dxfs count="2">
    <dxf>
      <fill>
        <patternFill patternType="solid">
          <fgColor rgb="FFFFFF99"/>
          <bgColor rgb="FFFFFF99"/>
        </patternFill>
      </fill>
    </dxf>
    <dxf>
      <font>
        <color rgb="FFFFFFF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200025</xdr:colOff>
      <xdr:row>1</xdr:row>
      <xdr:rowOff>76200</xdr:rowOff>
    </xdr:from>
    <xdr:ext cx="10125075" cy="1543050"/>
    <xdr:sp macro="" textlink="">
      <xdr:nvSpPr>
        <xdr:cNvPr id="4" name="Shape 4">
          <a:extLst>
            <a:ext uri="{FF2B5EF4-FFF2-40B4-BE49-F238E27FC236}">
              <a16:creationId xmlns:a16="http://schemas.microsoft.com/office/drawing/2014/main" id="{00000000-0008-0000-0300-000004000000}"/>
            </a:ext>
          </a:extLst>
        </xdr:cNvPr>
        <xdr:cNvSpPr/>
      </xdr:nvSpPr>
      <xdr:spPr>
        <a:xfrm>
          <a:off x="288225" y="3013238"/>
          <a:ext cx="10115550" cy="1533525"/>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CO2 emissions from fossil fuel combustion in the base unit electric power generation sector were collected from the Regional Greenhouse Gas Initiative (RGGI) Program.  RGGI piggybacks on the EPA Clean Air Markets Division (CAMD) program. Facilities report emissions directly to CAMD.  Facility CO2 emissions are reported directly from continuous emissions monitors (CEM) or are calculated by the facility and sent RGGI/CAMD.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CH4 and N2O emissions from stationary combustion in the electric power sector are calculated using the IPCC Tier 1 approach.  Consumption of each fuel is multiplied by a fuel-specific CH4 or N2O emission factor.  The resulting fuel emission values, in metric tons CH4 and N2O, are then multiplied by the global warming potential, converted to million metric tons of carbon equivalent (MMTCE), then to million metric tons of carbon dioxide equivalent (MMTCO2E), and summed.  For further detail on this method, please refer to the Stationary Chapter in the User's Guide.</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Note that this worksheet estimates the direct emissions associated with the electric power sector. Direct emissions result from the combustion of fossil fuels at the electricity generating station, whereas indirect emissions occur at the point of use (e.g., residential electricity consumption).  Because electricity consumption within a state does not correspond to electricity generated in that same state, emissions from electricity consumption (indirect emissions) are not likely to be the same as emissions from generation (direct emissions). Please refer to the electricity generation module to estimate indirect emissions from electricity consumption.</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xdr:txBody>
    </xdr:sp>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352425</xdr:colOff>
      <xdr:row>1</xdr:row>
      <xdr:rowOff>0</xdr:rowOff>
    </xdr:from>
    <xdr:ext cx="9639300" cy="942975"/>
    <xdr:sp macro="" textlink="">
      <xdr:nvSpPr>
        <xdr:cNvPr id="13" name="Shape 13">
          <a:extLst>
            <a:ext uri="{FF2B5EF4-FFF2-40B4-BE49-F238E27FC236}">
              <a16:creationId xmlns:a16="http://schemas.microsoft.com/office/drawing/2014/main" id="{00000000-0008-0000-0A00-00000D000000}"/>
            </a:ext>
          </a:extLst>
        </xdr:cNvPr>
        <xdr:cNvSpPr/>
      </xdr:nvSpPr>
      <xdr:spPr>
        <a:xfrm>
          <a:off x="531113" y="3313275"/>
          <a:ext cx="9629775" cy="93345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cement production consist of CO2 emissions produced from the following processes that follow the WSC Methodolgy.</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Raw materials converted to Clinker;</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Calcinations of Clinker Kiln Dust (CKD) leaving the Kiln system;</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Organic carbon content of Raw Meal.</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masonry cement are accounted for in the Lime Production estimates).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xdr:txBody>
    </xdr:sp>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161925</xdr:colOff>
      <xdr:row>1</xdr:row>
      <xdr:rowOff>9525</xdr:rowOff>
    </xdr:from>
    <xdr:ext cx="9496425" cy="2657475"/>
    <xdr:sp macro="" textlink="">
      <xdr:nvSpPr>
        <xdr:cNvPr id="3" name="Shape 3">
          <a:extLst>
            <a:ext uri="{FF2B5EF4-FFF2-40B4-BE49-F238E27FC236}">
              <a16:creationId xmlns:a16="http://schemas.microsoft.com/office/drawing/2014/main" id="{00000000-0008-0000-0100-000003000000}"/>
            </a:ext>
          </a:extLst>
        </xdr:cNvPr>
        <xdr:cNvSpPr/>
      </xdr:nvSpPr>
      <xdr:spPr>
        <a:xfrm>
          <a:off x="602550" y="2456025"/>
          <a:ext cx="9486900" cy="264795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b="1" i="0" u="none" strike="noStrike">
              <a:solidFill>
                <a:srgbClr val="000000"/>
              </a:solidFill>
              <a:latin typeface="Arial"/>
              <a:ea typeface="Arial"/>
              <a:cs typeface="Arial"/>
              <a:sym typeface="Arial"/>
            </a:rPr>
            <a:t>Limestone</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limestone and dolomite use result from industrial consumption.  The quantities of limestone consumed for industrial purposes, dolomite consumed for industrial purposes, and magnesium produced from dolomite are multiplied by their respective emission factors.  Industrial uses include the consumption of limestone and dolomite for flux stone production, glass manufacturing, flue gas desulfurization (FGD), Mg production through the thermic reduction of dolomite, chemical stone manufacturing, mine dusting or acid water treatment, acid neutralization, and sugar refining.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b="1" i="0" u="none" strike="noStrike">
              <a:solidFill>
                <a:srgbClr val="000000"/>
              </a:solidFill>
              <a:latin typeface="Arial"/>
              <a:ea typeface="Arial"/>
              <a:cs typeface="Arial"/>
              <a:sym typeface="Arial"/>
            </a:rPr>
            <a:t>Soda Ash</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soda ash manufacture and consumption are calculated by multiplying the quantity of soda ash manufactured and the quantity of soda ash consumed by their respective emission factors.  Maryland does not manufacture soda ash.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b="1" i="0" u="none" strike="noStrike">
              <a:solidFill>
                <a:srgbClr val="000000"/>
              </a:solidFill>
              <a:latin typeface="Arial"/>
              <a:ea typeface="Arial"/>
              <a:cs typeface="Arial"/>
              <a:sym typeface="Arial"/>
            </a:rPr>
            <a:t>Electric Power Transmission and Distribution</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electric power transmission and distribution are calculated by multiplying the quantity of SF6 consumed by an emission factor.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b="1" i="0" u="none" strike="noStrike">
              <a:solidFill>
                <a:srgbClr val="000000"/>
              </a:solidFill>
              <a:latin typeface="Arial"/>
              <a:ea typeface="Arial"/>
              <a:cs typeface="Arial"/>
              <a:sym typeface="Arial"/>
            </a:rPr>
            <a:t>ODS</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of HFCs, PFCs, and SF6 from ODS substitute production are estimated by apportioning national emissions to each state based on population.  State population data was provided by the U.S. Census Bureau (http://www.census.gov).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All emissions are then converted from metric tons of carbon equivalents (MTCE) to metric tons of carbon dioxide equivalents (MTCO2E).  Additional information on these calculations is available in the EPA SIT tool Industrial Processes Chapter of the User's Guide.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xdr:txBody>
    </xdr: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400050</xdr:colOff>
      <xdr:row>1</xdr:row>
      <xdr:rowOff>0</xdr:rowOff>
    </xdr:from>
    <xdr:ext cx="5953125" cy="809625"/>
    <xdr:sp macro="" textlink="">
      <xdr:nvSpPr>
        <xdr:cNvPr id="15" name="Shape 15">
          <a:extLst>
            <a:ext uri="{FF2B5EF4-FFF2-40B4-BE49-F238E27FC236}">
              <a16:creationId xmlns:a16="http://schemas.microsoft.com/office/drawing/2014/main" id="{00000000-0008-0000-0C00-00000F000000}"/>
            </a:ext>
          </a:extLst>
        </xdr:cNvPr>
        <xdr:cNvSpPr/>
      </xdr:nvSpPr>
      <xdr:spPr>
        <a:xfrm>
          <a:off x="2374200" y="3379950"/>
          <a:ext cx="5943600" cy="80010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iron &amp; steel production processes produce greenhouse gas emissions. Predominant sources of process-related CO2 emissions in the iron and steel manufacturing industry include:</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Sinter Strand;</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L-Blast Furnace (Iron production);</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Basic Oxygen Furnace –Steel Production (BOF).</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xdr:txBody>
    </xdr:sp>
    <xdr:clientData fLocksWithSheet="0"/>
  </xdr:oneCellAnchor>
</xdr:wsDr>
</file>

<file path=xl/drawings/drawing13.xml><?xml version="1.0" encoding="utf-8"?>
<xdr:wsDr xmlns:xdr="http://schemas.openxmlformats.org/drawingml/2006/spreadsheetDrawing" xmlns:a="http://schemas.openxmlformats.org/drawingml/2006/main">
  <xdr:oneCellAnchor>
    <xdr:from>
      <xdr:col>0</xdr:col>
      <xdr:colOff>400050</xdr:colOff>
      <xdr:row>1</xdr:row>
      <xdr:rowOff>28575</xdr:rowOff>
    </xdr:from>
    <xdr:ext cx="7848600" cy="638175"/>
    <xdr:sp macro="" textlink="">
      <xdr:nvSpPr>
        <xdr:cNvPr id="14" name="Shape 14">
          <a:extLst>
            <a:ext uri="{FF2B5EF4-FFF2-40B4-BE49-F238E27FC236}">
              <a16:creationId xmlns:a16="http://schemas.microsoft.com/office/drawing/2014/main" id="{00000000-0008-0000-0B00-00000E000000}"/>
            </a:ext>
          </a:extLst>
        </xdr:cNvPr>
        <xdr:cNvSpPr/>
      </xdr:nvSpPr>
      <xdr:spPr>
        <a:xfrm>
          <a:off x="1426463" y="3465675"/>
          <a:ext cx="7839075" cy="62865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ammonia production and urea application are calculated by multiplying the quantity of ammonia produced and urea applied by their respective emission factors. Emissions from urea application are subtracted from emissions due to ammonia production. The emissions are then converted from metric tons of carbon equivalents (MTCE) to metric tons of carbon dioxide equivalents (MTCO2E).  Additional information on these calculations is available in the Industrial Processes Chapter of the EPA State Inventory Tool User's Guide.  </a:t>
          </a:r>
          <a:endParaRPr sz="1400"/>
        </a:p>
      </xdr:txBody>
    </xdr:sp>
    <xdr:clientData fLocksWithSheet="0"/>
  </xdr:oneCellAnchor>
</xdr:wsDr>
</file>

<file path=xl/drawings/drawing14.xml><?xml version="1.0" encoding="utf-8"?>
<xdr:wsDr xmlns:xdr="http://schemas.openxmlformats.org/drawingml/2006/spreadsheetDrawing" xmlns:a="http://schemas.openxmlformats.org/drawingml/2006/main">
  <xdr:oneCellAnchor>
    <xdr:from>
      <xdr:col>20</xdr:col>
      <xdr:colOff>142875</xdr:colOff>
      <xdr:row>1</xdr:row>
      <xdr:rowOff>47625</xdr:rowOff>
    </xdr:from>
    <xdr:ext cx="10734675" cy="4914900"/>
    <xdr:sp macro="" textlink="">
      <xdr:nvSpPr>
        <xdr:cNvPr id="22" name="Shape 22">
          <a:extLst>
            <a:ext uri="{FF2B5EF4-FFF2-40B4-BE49-F238E27FC236}">
              <a16:creationId xmlns:a16="http://schemas.microsoft.com/office/drawing/2014/main" id="{00000000-0008-0000-1300-000016000000}"/>
            </a:ext>
          </a:extLst>
        </xdr:cNvPr>
        <xdr:cNvSpPr/>
      </xdr:nvSpPr>
      <xdr:spPr>
        <a:xfrm>
          <a:off x="10572750" y="466725"/>
          <a:ext cx="10734675" cy="491490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the Agricultural Sector are calculated by summing the emissions from the following sources:</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Enteric Fermentation</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Manure Management</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Plant Residues</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Fertilizers</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Animals</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Rice Cultivation</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 Agricultural Residue Burning</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Enteric Fermentation are calculated by multiplying each animal population by an animal- and region-specific emission factor.  Those resulting values, in kg CH4, are then converted to million metric tons (MMTCH4), MMT carbon equivalent (MMTCE), MMT carbon dioxide  equivalent (MMTCO2E), and then summed across animal types within a given year.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Methane emissions from Manure Management are calculated by multiplying each animal population by the typical animal mass (TAM) and the average volatile solids (VS) produced per kilogram (kg) of animal mass per year to estimate the amount of VS produced.  For each animal, this VS total is muliplied by the maximum potential emissions factor and by the methane conversion factor (MCF) of the manure system by the percentage manure managed in that system.  This yields methane emissions in cubic meters which are then converted to MMTCE, MMT carbon dioxide  equivalent (MMTCO2E), and then summed.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N2O emissions from Manure Management are calculated by multiplying each animal population by the typical animal mass (TAM) by the amount of nitrogen produced per kilogram of animal mass per year.  This value is then multiplied by a non-volatization factor and the proportion of waste processed in liquid and solid management systems to give two totals of unvolatized N.  Each of these are multiplied by an emission factor specific to the management system to give two totals of nitrogen emissions.  These totals are then summed and converted to N2O.  This amount is then converted to MMTCE, MMT carbon dioxide equivalent (MMTCO2E), and then summed.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Plant Residues are calculated by first converting the crop production to metric tons.  This value is multiplied by the ratio of plant residue to crop mass, the fraction of dry matter in the residue, the fraction of residue applied, and the N content of the residue.  These values are summed to yield total N returned to soils, multiplied by an emission factor (EF), and converted to N2O.  For Legumes, the crop production is multiplied by the residue to crop mass ratio, the dry matter fraction, and the N content of above-ground biomass.  These values are then summed to yield total N-fixed by crops, multiplied by an EF, and converted to N2O.  Emissions from histosols are calculated by converting acres cultivated into hectares, multiplying by an EF, and then converting to N2O.  This amount is also converted to MMTCE, MMT carbon dioxide equivalent (MMTCO2E).  </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of N2O from Fertilizers are calculated by first adjusting synthetic and organic fertilizer use data (in kg N) to calendar year.  The amount of N in synthetic fertilizer is multiplied by a synthetic volatilization rate to estimate volatilized N.  According to the IPCC Good Practice Guidance, the manure portion of organic fertilizers is subtracted from the total of organic fertilizers. Then, the amount of N in non-manure organic fertilizer is multiplied by the fraction N in other organics and by an organic volatilization rate to estimate organic volatilized N.  Unvolatilized N for synthetic and organic fertilizer is calculated using the remaining fraction of the volatilization rates.  These categories are summed, multiplied by an EF, and converted to metric tons of N2O emitted.  This amount is also converted to MMTCE, MMT carbon dioxide equivalent (MMTCO2E).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Animals are calculated by multiplying each animal population by the typical animal mass (TAM) by the amount of K-Nitrogen (K-N) produced per kilogram of animal mass per year for total K-N excreted.  Indirect emissions are estimated by multiplying K-N by a volatization rate and EF to give emissions of N.  Direct emissions from pasture, range, and paddock are calculated by multiplying K-N by the percent of manure in pastures and an EF for that system.  Direct emissions from manure applied to soils are calculated by multiplying K-N for daily spread and managed systems by the percent of manure in these systems and an EF for each system, excluding a small percent of managed manure used as feed.  These totals are then summed and converted to N2O.  Unvolatized N from fertilizers, calculated on the previous worksheet, and K-N from manure are multiplied by a leaching EF to give emissions from leaching and runoff.  The emissions summary for each year converts the total direct and indirect estimates for livestock and runoff/leaching to MTN2O, MMTCE, and then MMT carbon dioxide equivalent (MMTCO2E).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Rice Cultivation are calculated using the area harvested.  There is no rice cultivation in Maryland.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Agricultural Residue Burning are calculated by multiplying the amount of crop produced by a series of factors to calculate the amount of crop residue produced and burned, the resultant dry matter, and the carbon/nitrogen content of this dry matter.  From these, the amount of carbon and nitrogen released can be determined, and thus methane and nitrous oxide emissions quantified.  Those resulting values, in metric tons of gas, are converted to million metric tons carbon equivalent (MMTCE), then to million metric tons carbon dioxide equivalent MMTCO2E, and then summed.  Note that default emission factors are available through 2007.</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xdr:txBody>
    </xdr:sp>
    <xdr:clientData fLocksWithSheet="0"/>
  </xdr:oneCellAnchor>
  <xdr:oneCellAnchor>
    <xdr:from>
      <xdr:col>1</xdr:col>
      <xdr:colOff>0</xdr:colOff>
      <xdr:row>1</xdr:row>
      <xdr:rowOff>47624</xdr:rowOff>
    </xdr:from>
    <xdr:ext cx="10039350" cy="4752975"/>
    <xdr:sp macro="" textlink="">
      <xdr:nvSpPr>
        <xdr:cNvPr id="23" name="Shape 23">
          <a:extLst>
            <a:ext uri="{FF2B5EF4-FFF2-40B4-BE49-F238E27FC236}">
              <a16:creationId xmlns:a16="http://schemas.microsoft.com/office/drawing/2014/main" id="{00000000-0008-0000-1300-000017000000}"/>
            </a:ext>
          </a:extLst>
        </xdr:cNvPr>
        <xdr:cNvSpPr/>
      </xdr:nvSpPr>
      <xdr:spPr>
        <a:xfrm>
          <a:off x="342900" y="466724"/>
          <a:ext cx="10039350" cy="4752975"/>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b="1" i="0" u="none" strike="noStrike">
              <a:solidFill>
                <a:srgbClr val="000000"/>
              </a:solidFill>
              <a:latin typeface="Arial"/>
              <a:ea typeface="Arial"/>
              <a:cs typeface="Arial"/>
              <a:sym typeface="Arial"/>
            </a:rPr>
            <a:t>Enteric Fermentation</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Enteric Fermentation are calculated by multiplying each animal population by an animal- and region-specific emission factor.  Those resulting values, in kg CH4, are then converted to million metric tons (MMTCH4), MMT carbon equivalent (MMTCE), MMT carbon dioxide  equivalent (MMTCO2E), and then summed across animal types within a given year.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b="1" i="0" u="none" strike="noStrike">
              <a:solidFill>
                <a:srgbClr val="000000"/>
              </a:solidFill>
              <a:latin typeface="Arial"/>
              <a:ea typeface="Arial"/>
              <a:cs typeface="Arial"/>
              <a:sym typeface="Arial"/>
            </a:rPr>
            <a:t>Manure Management</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Methane emissions from Manure Management are calculated by multiplying each animal population by the typical animal mass (TAM) and the average volatile solids (VS) produced per kilogram (kg) of animal mass per year to estimate the amount of VS produced.  For each animal, this VS total is muliplied by the maximum potential emissions factor and by the methane conversion factor (MCF) of the manure system by the percentage manure managed in that system.  This yields methane emissions in cubic meters which are then converted to MMTCE, MMT carbon dioxide equivalent (MMTCO2E), and then summed.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N2O emissions from Manure Management are calculated by multiplying each animal population by the typical animal mass (TAM) by the amount of Kjejdahl nitrogen produced per kilogram of animal mass per year.  This value is then multiplied by a non-volatization factor and the proportion of waste processed in liquid and solid management systems to give two totals of unvolatized N.  Each of these are multiplied by an emission factor specific to the management system to give two totals of nitrogen emissions.  These totals are then summed and converted to N2O.  This amount is then converted to MMTCE, MMT carbon dioxide equivalent (MMTCO2E), and then summed.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b="1" i="0" u="none" strike="noStrike">
              <a:solidFill>
                <a:srgbClr val="000000"/>
              </a:solidFill>
              <a:latin typeface="Arial"/>
              <a:ea typeface="Arial"/>
              <a:cs typeface="Arial"/>
              <a:sym typeface="Arial"/>
            </a:rPr>
            <a:t>Ag Soils – Plant: Residues &amp; Legumes</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Plant Residues are calculated by first converting the crop production to metric tons.  This value is multiplied by the ratio of plant residue to crop mass, the fraction of dry matter in the residue, the fraction of residue applied, and the N content of the residue.  These values are summed to yield total N returned to soils, multiplied by an emission factor (EF), and converted to N2O.  For Legumes, the crop production is multiplied by the residue to crop mass ratio, the dry matter fraction, and the N content of above-ground biomass.  These values are then summed to yield total N-fixed by crops, multiplied by an EF, and converted to N2O.  Emissions from histosols are calculated by converting acres cultivated into hectares, multiplying by an EF, and then converting to N2O.  This amount is also converted to MMTCE, MMT carbon dioxide equivalent (MMTCO2E).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b="1" i="0" u="none" strike="noStrike">
              <a:solidFill>
                <a:srgbClr val="000000"/>
              </a:solidFill>
              <a:latin typeface="Arial"/>
              <a:ea typeface="Arial"/>
              <a:cs typeface="Arial"/>
              <a:sym typeface="Arial"/>
            </a:rPr>
            <a:t>Ag Soils – Plant: Fertilizers</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of N2O from Fertilizers are calculated by first adjusting synthetic and organic fertilizer use data (in kg N) to calendar year.  The amount of N in synthetic fertilizer is multiplied by a synthetic volatilization rate to estimate volatilized N.  According to the IPCC Good Practice Guidance, the manure portion of organic fertilizers is subtracted from the total of organic fertilizers. Then, the amount of N in non-manure organic fertilizer is multiplied by the fraction N in other organics and by an organic volatilization rate to estimate organic volatilized N.  Unvolatilized N for synthetic and organic fertilizer is calculated using the remaining fraction of the volatilization rates.  These categories are summed, multiplied by an EF, and converted to metric tons of N2O emitted.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b="1" i="0" u="none" strike="noStrike">
              <a:solidFill>
                <a:srgbClr val="000000"/>
              </a:solidFill>
              <a:latin typeface="Arial"/>
              <a:ea typeface="Arial"/>
              <a:cs typeface="Arial"/>
              <a:sym typeface="Arial"/>
            </a:rPr>
            <a:t>Ag Soils – Animals</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Animals are calculated by multiplying each animal population by the typical animal mass (TAM) by the amount of K-Nitrogen (K-N) produced per kilogram of animal mass per year for total K-N excreted.  Indirect emissions are estimated by multiplying K-N by a volatization rate and EF to give emissions of N.  Direct emissions from pasture, range, and paddock are calculated by multiplying K-N by the percent of manure in pastures and an EF for that system.  Direct emissions from manure applied to soils are calculated by multiplying K-N for daily spread and managed systems by the percent of manure in these systems and an EF for each system, excluding a small percent of managed manure used as feed.  These totals are then summed and converted to N2O.  Unvolatized N from fertilizers, calculated on the previous worksheet, and K-N from manure are multiplied by a leaching EF to give emissions from leaching and runoff.  The emissions summary for each year converts the total direct and indirect estimates for livestock and runoff/leaching to MTN2O, MMTCE, and then MMT carbon dioxide equivalent (MMTCO2E</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b="1" i="0" u="none" strike="noStrike">
              <a:solidFill>
                <a:srgbClr val="000000"/>
              </a:solidFill>
              <a:latin typeface="Arial"/>
              <a:ea typeface="Arial"/>
              <a:cs typeface="Arial"/>
              <a:sym typeface="Arial"/>
            </a:rPr>
            <a:t>Ag Residue Burning</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Agricultural Residue Burning are calculated by multiplying the amount of crop produced by a series of factors to calculate the amount of crop residue produced and burned, the resultant dry matter, and the carbon/nitrogen content of this dry matter.  From these, the amount of carbon and nitrogen released can be determined, and thus methane and nitrous oxide emissions quantified.  Those resulting values, in metric tons of gas, are converted to million metric tons carbon equivalent (MMTCE), then to million metric tons carbon dioxide equivalent MMTCO2E, and then summed.</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xdr:txBody>
    </xdr:sp>
    <xdr:clientData fLocksWithSheet="0"/>
  </xdr:oneCellAnchor>
</xdr:wsDr>
</file>

<file path=xl/drawings/drawing15.xml><?xml version="1.0" encoding="utf-8"?>
<xdr:wsDr xmlns:xdr="http://schemas.openxmlformats.org/drawingml/2006/spreadsheetDrawing" xmlns:a="http://schemas.openxmlformats.org/drawingml/2006/main">
  <xdr:oneCellAnchor>
    <xdr:from>
      <xdr:col>0</xdr:col>
      <xdr:colOff>400050</xdr:colOff>
      <xdr:row>1</xdr:row>
      <xdr:rowOff>9525</xdr:rowOff>
    </xdr:from>
    <xdr:ext cx="9372600" cy="638175"/>
    <xdr:sp macro="" textlink="">
      <xdr:nvSpPr>
        <xdr:cNvPr id="17" name="Shape 17">
          <a:extLst>
            <a:ext uri="{FF2B5EF4-FFF2-40B4-BE49-F238E27FC236}">
              <a16:creationId xmlns:a16="http://schemas.microsoft.com/office/drawing/2014/main" id="{00000000-0008-0000-0E00-000011000000}"/>
            </a:ext>
          </a:extLst>
        </xdr:cNvPr>
        <xdr:cNvSpPr/>
      </xdr:nvSpPr>
      <xdr:spPr>
        <a:xfrm>
          <a:off x="664463" y="3465675"/>
          <a:ext cx="9363075" cy="62865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Carbon dioxide (CO2) emission from Municipal Solid Waste (MSW) combustion in incinerators was estimated by multiplying the tonnages of MSW combusted in Maryland in 2006 by the default EPA Municipal Solid Waste heat value and an updated CO2 emission factor from the Mandatory Greenhouse Gas Reporting Rule.  All material burned was included in the analysis.</a:t>
          </a:r>
          <a:endParaRPr sz="1400"/>
        </a:p>
      </xdr:txBody>
    </xdr:sp>
    <xdr:clientData fLocksWithSheet="0"/>
  </xdr:oneCellAnchor>
</xdr:wsDr>
</file>

<file path=xl/drawings/drawing16.xml><?xml version="1.0" encoding="utf-8"?>
<xdr:wsDr xmlns:xdr="http://schemas.openxmlformats.org/drawingml/2006/spreadsheetDrawing" xmlns:a="http://schemas.openxmlformats.org/drawingml/2006/main">
  <xdr:oneCellAnchor>
    <xdr:from>
      <xdr:col>0</xdr:col>
      <xdr:colOff>123825</xdr:colOff>
      <xdr:row>1</xdr:row>
      <xdr:rowOff>0</xdr:rowOff>
    </xdr:from>
    <xdr:ext cx="9582150" cy="1285875"/>
    <xdr:sp macro="" textlink="">
      <xdr:nvSpPr>
        <xdr:cNvPr id="16" name="Shape 16">
          <a:extLst>
            <a:ext uri="{FF2B5EF4-FFF2-40B4-BE49-F238E27FC236}">
              <a16:creationId xmlns:a16="http://schemas.microsoft.com/office/drawing/2014/main" id="{00000000-0008-0000-0D00-000010000000}"/>
            </a:ext>
          </a:extLst>
        </xdr:cNvPr>
        <xdr:cNvSpPr/>
      </xdr:nvSpPr>
      <xdr:spPr>
        <a:xfrm>
          <a:off x="559688" y="3141825"/>
          <a:ext cx="9572625" cy="127635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Estimation of carbon dioxide (CO2) emission from Landfill gas flaring / conversion to energy generation was based on the amount of CH4 collected by the collection system from the total amount of CH4 generated from the Landfill and the control devices efficiency. CO2 emission estimate was based on the stoichiometric combustion reactionequation (1) below.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CH4 + 2O2 → CO2 + 2H2O (Equation 1)</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1 Kmol CH4 =&gt; 1 Kmol CO2</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16 g CH4     =&gt;  44 g CO2</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1 g CH4      =&gt;   2.75 g CO2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xdr:txBody>
    </xdr:sp>
    <xdr:clientData fLocksWithSheet="0"/>
  </xdr:oneCellAnchor>
</xdr:wsDr>
</file>

<file path=xl/drawings/drawing17.xml><?xml version="1.0" encoding="utf-8"?>
<xdr:wsDr xmlns:xdr="http://schemas.openxmlformats.org/drawingml/2006/spreadsheetDrawing" xmlns:a="http://schemas.openxmlformats.org/drawingml/2006/main">
  <xdr:oneCellAnchor>
    <xdr:from>
      <xdr:col>1</xdr:col>
      <xdr:colOff>0</xdr:colOff>
      <xdr:row>1</xdr:row>
      <xdr:rowOff>28575</xdr:rowOff>
    </xdr:from>
    <xdr:ext cx="9705975" cy="3638550"/>
    <xdr:sp macro="" textlink="">
      <xdr:nvSpPr>
        <xdr:cNvPr id="21" name="Shape 21">
          <a:extLst>
            <a:ext uri="{FF2B5EF4-FFF2-40B4-BE49-F238E27FC236}">
              <a16:creationId xmlns:a16="http://schemas.microsoft.com/office/drawing/2014/main" id="{00000000-0008-0000-1200-000015000000}"/>
            </a:ext>
          </a:extLst>
        </xdr:cNvPr>
        <xdr:cNvSpPr/>
      </xdr:nvSpPr>
      <xdr:spPr>
        <a:xfrm>
          <a:off x="497775" y="1965488"/>
          <a:ext cx="9696450" cy="3629025"/>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To calculate methane emissions from municipal wastewater treatment, the total annual BOD5 production in metric tons is multiplied by the fraction that is treated anaerobically and by the CH4 produced per metric ton of BOD5, converted to million metric tons carbon equivalent (MMTCE), and converted to million metric tons carbon dioxide equivalent (MMTCO2E).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Municipal wastewater treatment direct N2O emissions are calculated by multiplying total population served by an N2O emission factor per person per year, converted to million metric tons carbon equivalent (MMTCE), and converted to million metric tons carbon dioxide equivalent (MMTCO2E).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Municipal wastewater N2O emissions from biosolids are calculated by multiplying the total annual protein consumption by the nitrogen content of protein and fraction of nitrogen not consumed, an N2O emission factor per metric ton of nitrogen treated, subtracting direct emissions, converted to million metric tons carbon equivalent (MMTCE), and converted to million metric tons carbon dioxide equivalent (MMTCO2E).   Direct and biosolids N2O emissions are then added to produce an estimate of total municipal wastewater treatment N2O emissions.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treatment of industrial wastewater from fruit and vegetables is based annual metric tons produced and factored by the volume of wastewater produced per unit production, the average organic matter content of wastewater from those processes, a CH4 emission factor, the percent treated anaerobically, converted to million metric tons carbon equivalent (MMTCE), and converted to million metric tons carbon dioxide equivalent (MMTCO2E).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treatment of industrial wastewater from red meat is based annual metric tons produced and factored by the volume of wastewater produced per unit production, the average organic matter content of wastewater from those processes, a CH4 emission factor, the percent treated anaerobically, converted to million metric tons carbon equivalent (MMTCE), and converted to million metric tons carbon dioxide equivalent (MMTCO2E).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treatment of industrial wastewater from poultry is based annual metric tons produced and factored by the volume of wastewater produced per unit production, the average organic matter content of wastewater from those processes, a CH4 emission factor, the percent treated anaerobically, converted to million metric tons carbon equivalent (MMTCE), and converted to million metric tons carbon dioxide equivalent (MMTCO2E).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treatment of industrial wastewater from pulp and paper production is based annual metric tons produced and factored by the volume of wastewater produced per unit production, the average organic matter content of wastewater from those processes, a CH4 emission factor, the percent treated anaerobically, converted to million metric tons carbon equivalent (MMTCE), and converted to million metric tons carbon dioxide equivalent (MMTCO2E).  </a:t>
          </a:r>
          <a:endParaRPr sz="1400"/>
        </a:p>
      </xdr:txBody>
    </xdr:sp>
    <xdr:clientData fLocksWithSheet="0"/>
  </xdr:oneCellAnchor>
</xdr:wsDr>
</file>

<file path=xl/drawings/drawing18.xml><?xml version="1.0" encoding="utf-8"?>
<xdr:wsDr xmlns:xdr="http://schemas.openxmlformats.org/drawingml/2006/spreadsheetDrawing" xmlns:a="http://schemas.openxmlformats.org/drawingml/2006/main">
  <xdr:oneCellAnchor>
    <xdr:from>
      <xdr:col>0</xdr:col>
      <xdr:colOff>419100</xdr:colOff>
      <xdr:row>1</xdr:row>
      <xdr:rowOff>0</xdr:rowOff>
    </xdr:from>
    <xdr:ext cx="6619875" cy="1381125"/>
    <xdr:sp macro="" textlink="">
      <xdr:nvSpPr>
        <xdr:cNvPr id="18" name="Shape 18">
          <a:extLst>
            <a:ext uri="{FF2B5EF4-FFF2-40B4-BE49-F238E27FC236}">
              <a16:creationId xmlns:a16="http://schemas.microsoft.com/office/drawing/2014/main" id="{00000000-0008-0000-0F00-000012000000}"/>
            </a:ext>
          </a:extLst>
        </xdr:cNvPr>
        <xdr:cNvSpPr/>
      </xdr:nvSpPr>
      <xdr:spPr>
        <a:xfrm>
          <a:off x="2040825" y="3094200"/>
          <a:ext cx="6610350" cy="137160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The method used to calculate emissions is presented in a study/survey conducted by the Mid-Atlantic/Northeast Visibility Union (MANE-VU), titled “Open Burning in Residential Areas Emissions Inventory Development Report.” User's Guide.  The purpose of the survey was to obtain data for developing activity estimates and control information (e.g., bans on burning) that would form the basis of an improved open burning emission inventory for Mid-Atlantic/Northeast Visibility Union (MANE-VU) states.</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 factors in lbs/ton total mass were taken from AP-42 Table 2.5-1, Emission Factors for Open Burning of Municipal Refuse and from a 1997 EPA research paper on open burning.</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9525</xdr:rowOff>
    </xdr:from>
    <xdr:ext cx="9144000" cy="1666875"/>
    <xdr:sp macro="" textlink="">
      <xdr:nvSpPr>
        <xdr:cNvPr id="5" name="Shape 5">
          <a:extLst>
            <a:ext uri="{FF2B5EF4-FFF2-40B4-BE49-F238E27FC236}">
              <a16:creationId xmlns:a16="http://schemas.microsoft.com/office/drawing/2014/main" id="{00000000-0008-0000-0400-000005000000}"/>
            </a:ext>
          </a:extLst>
        </xdr:cNvPr>
        <xdr:cNvSpPr/>
      </xdr:nvSpPr>
      <xdr:spPr>
        <a:xfrm>
          <a:off x="778763" y="2951325"/>
          <a:ext cx="9134475" cy="165735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CO</a:t>
          </a:r>
          <a:r>
            <a:rPr lang="en-US" sz="800" i="0" u="none" strike="noStrike" baseline="-25000">
              <a:solidFill>
                <a:srgbClr val="000000"/>
              </a:solidFill>
              <a:latin typeface="Arial"/>
              <a:ea typeface="Arial"/>
              <a:cs typeface="Arial"/>
              <a:sym typeface="Arial"/>
            </a:rPr>
            <a:t>2 </a:t>
          </a:r>
          <a:r>
            <a:rPr lang="en-US" sz="800" i="0" u="none" strike="noStrike">
              <a:solidFill>
                <a:srgbClr val="000000"/>
              </a:solidFill>
              <a:latin typeface="Arial"/>
              <a:ea typeface="Arial"/>
              <a:cs typeface="Arial"/>
              <a:sym typeface="Arial"/>
            </a:rPr>
            <a:t>emissions from fossil fuel combustion in the electric power sector are calculated by multiplying energy consumption by carbon content coefficients for each fuel.  These quantities are then multiplied by fuel-specific percentages of carbon oxidized during combustion ("combustion efficiency").  The resulting fuel emissions, in pounds of carbon, are then converted to short tons of carbon and million metric tons of carbon equivalent (MMTCE), then to million metric tons of carbon dioxide equivalent (MMTCO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E), and summed.  The state may find it useful to (a) distribute emissions from electric power across the end-use sectors (residential, commercial, industrial, and transportation); and (b) estimate emissions from net imports of electricity.  Note that default emission factors are available through 2007.  To facilitate emission calculations for later years, the tool utilizes 2007 emission factors as proxies for emission factors in subsequent years (2008 through 2020).  Emission factors for 2008 and beyond will be updated as soon as new data become available.  For further detail on this method, refer to 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FFC Chapter in the User's Guide.</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Note that this worksheet estimates the direct emissions associated with the electric power sector. Direct emissions result from the combustion of fossil fuels at the electricity generating station, whereas indirect emissions occur at the point of use (e.g., residential electricity consumption).  Because electricity consumption within a state does not correspond to electricity generated in that same state, emissions from electricity consumption (indirect emissions) are not likely to be the same as emissions from generation (direct emissions). Please refer to the electricity generation module to estimate indirect emissions from electricity consumption.</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1</xdr:row>
      <xdr:rowOff>47625</xdr:rowOff>
    </xdr:from>
    <xdr:ext cx="9258300" cy="847725"/>
    <xdr:sp macro="" textlink="">
      <xdr:nvSpPr>
        <xdr:cNvPr id="6" name="Shape 6">
          <a:extLst>
            <a:ext uri="{FF2B5EF4-FFF2-40B4-BE49-F238E27FC236}">
              <a16:creationId xmlns:a16="http://schemas.microsoft.com/office/drawing/2014/main" id="{00000000-0008-0000-0500-000006000000}"/>
            </a:ext>
          </a:extLst>
        </xdr:cNvPr>
        <xdr:cNvSpPr/>
      </xdr:nvSpPr>
      <xdr:spPr>
        <a:xfrm>
          <a:off x="721613" y="3360900"/>
          <a:ext cx="9248775" cy="83820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Maryland is a net importer of electricity, meaning that the State consumes more electricity than is produced in the State. For this analysis, it was assumed that all power generated in Maryland was consumed in Maryland, and that remaining electricity demand was met by imported power.  The electricity imported to meet Maryland demand was assume to come from the PJM Interconnection.</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The fuel mix within the PJM region required to generate the electricity was obtained and CO2 emission rates per fuel type were calculated.  These emission rates were applied to the amount of electricity Maryland imported to meet demand.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xdr:txBody>
    </xdr:sp>
    <xdr:clientData fLocksWithSheet="0"/>
  </xdr:oneCellAnchor>
  <xdr:oneCellAnchor>
    <xdr:from>
      <xdr:col>0</xdr:col>
      <xdr:colOff>123825</xdr:colOff>
      <xdr:row>1</xdr:row>
      <xdr:rowOff>76200</xdr:rowOff>
    </xdr:from>
    <xdr:ext cx="10601325" cy="828675"/>
    <xdr:sp macro="" textlink="">
      <xdr:nvSpPr>
        <xdr:cNvPr id="7" name="Shape 7">
          <a:extLst>
            <a:ext uri="{FF2B5EF4-FFF2-40B4-BE49-F238E27FC236}">
              <a16:creationId xmlns:a16="http://schemas.microsoft.com/office/drawing/2014/main" id="{00000000-0008-0000-0500-000007000000}"/>
            </a:ext>
          </a:extLst>
        </xdr:cNvPr>
        <xdr:cNvSpPr/>
      </xdr:nvSpPr>
      <xdr:spPr>
        <a:xfrm>
          <a:off x="50100" y="3370425"/>
          <a:ext cx="10591800" cy="81915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Maryland is a net importer of electricity, meaning that the State consumes more electricity than is produced in the State. For this analysis, it was assumed that all power generated in Maryland was consumed in Maryland, and that remaining electricity demand was met by imported power.  The electricity imported to meet Maryland demand was assume to come from the PJM Interconnection.</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The fuel mix within the PJM region required to generate the electricity was obtained and CO2 emission rates per fuel type were calculated.  These emission rates were applied to the amount of electricity Maryland imported to meet demand.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371475</xdr:colOff>
      <xdr:row>1</xdr:row>
      <xdr:rowOff>38100</xdr:rowOff>
    </xdr:from>
    <xdr:ext cx="8239125" cy="1438275"/>
    <xdr:sp macro="" textlink="">
      <xdr:nvSpPr>
        <xdr:cNvPr id="10" name="Shape 10">
          <a:extLst>
            <a:ext uri="{FF2B5EF4-FFF2-40B4-BE49-F238E27FC236}">
              <a16:creationId xmlns:a16="http://schemas.microsoft.com/office/drawing/2014/main" id="{00000000-0008-0000-0700-00000A000000}"/>
            </a:ext>
          </a:extLst>
        </xdr:cNvPr>
        <xdr:cNvSpPr/>
      </xdr:nvSpPr>
      <xdr:spPr>
        <a:xfrm>
          <a:off x="1231200" y="3065625"/>
          <a:ext cx="8229600" cy="142875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 emissions from fossil fuel combustion in the residential sector are calculated by multiplying energy consumption (in the residential sector) by carbon content coefficients for each fuel.  These quantities are then multiplied by fuel-specific percentages of carbon oxidized during combustion ("combustion efficiency").  The resulting fuel emission values, in pounds of carbon, are then converted to short tons of carbon and million metric tons of carbon equivalent (MMTCE), then to million metric tons of carbon dioxide equivalent (MMTCO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E), and summed.     For further detail on this method, refer to the 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FFC Chapter in the User's Guide.</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According to the methods developed by the International Panel on Climate Change, 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 emissions from the combustion of biogenic sources (e.g., fuel wood) are not counted in greenhouse gas inventories, provided that those sources are harvested on a sustainable basis. The carbon in wood fuel was originally removed from the atmosphere by photosynthesis, and under natural conditions, it would cycle back to the atmosphere eventually as 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 due to degradation processes. For processes with 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 emissions, if the emissions are from biogenic materials and the materials are grown on a sustainable basis, then those emissions are considered to close the loop in the natural carbon cycle. </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400050</xdr:colOff>
      <xdr:row>1</xdr:row>
      <xdr:rowOff>19050</xdr:rowOff>
    </xdr:from>
    <xdr:ext cx="7572375" cy="781050"/>
    <xdr:sp macro="" textlink="">
      <xdr:nvSpPr>
        <xdr:cNvPr id="11" name="Shape 11">
          <a:extLst>
            <a:ext uri="{FF2B5EF4-FFF2-40B4-BE49-F238E27FC236}">
              <a16:creationId xmlns:a16="http://schemas.microsoft.com/office/drawing/2014/main" id="{00000000-0008-0000-0800-00000B000000}"/>
            </a:ext>
          </a:extLst>
        </xdr:cNvPr>
        <xdr:cNvSpPr/>
      </xdr:nvSpPr>
      <xdr:spPr>
        <a:xfrm>
          <a:off x="1564575" y="3394238"/>
          <a:ext cx="7562850" cy="771525"/>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 emissions from fossil fuel combustion in the commercial sector are calculated by multiplying energy consumption (in the commercial sector) by carbon content coefficients for each fuel.  These quantities are then multiplied by fuel-specific percentages of carbon oxidized during combustion ("combustion efficiency").  The resulting fuel emissions, in pounds of carbon, are then converted to short tons of carbon and million metric tons of carbon equivalent (MMTCE), then to million metric tons of carbon dioxide equivalent (MMTCO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E), and summed.   For further detail on this method, refer to 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FFC Chapter in the User's Guide.</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142875</xdr:colOff>
      <xdr:row>1</xdr:row>
      <xdr:rowOff>76200</xdr:rowOff>
    </xdr:from>
    <xdr:ext cx="8572500" cy="790575"/>
    <xdr:sp macro="" textlink="">
      <xdr:nvSpPr>
        <xdr:cNvPr id="12" name="Shape 12">
          <a:extLst>
            <a:ext uri="{FF2B5EF4-FFF2-40B4-BE49-F238E27FC236}">
              <a16:creationId xmlns:a16="http://schemas.microsoft.com/office/drawing/2014/main" id="{00000000-0008-0000-0900-00000C000000}"/>
            </a:ext>
          </a:extLst>
        </xdr:cNvPr>
        <xdr:cNvSpPr/>
      </xdr:nvSpPr>
      <xdr:spPr>
        <a:xfrm>
          <a:off x="1064513" y="3389475"/>
          <a:ext cx="8562975" cy="78105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 emissions from fossil fuel combustion in the industrial sector are calculated by first subtracting non-energy consumption multiplied by carbon storage factors from the energy consumption for each fuel type.  The resulting combustible consumption for each fuel is then multiplied by a carbon content coefficient and by the percentage of carbon oxidized during combustion ("combustion efficiency").  The resulting fuel emissions, in pounds of carbon, are then converted to short tons of carbon and million metric tons of carbon equivalent (MMTCE), then to million metric tons of carbon dioxide equivalent (MMTCO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E), and summed.  For further detail on this method, refer to CO</a:t>
          </a:r>
          <a:r>
            <a:rPr lang="en-US" sz="800" i="0" u="none" strike="noStrike" baseline="-25000">
              <a:solidFill>
                <a:srgbClr val="000000"/>
              </a:solidFill>
              <a:latin typeface="Arial"/>
              <a:ea typeface="Arial"/>
              <a:cs typeface="Arial"/>
              <a:sym typeface="Arial"/>
            </a:rPr>
            <a:t>2</a:t>
          </a:r>
          <a:r>
            <a:rPr lang="en-US" sz="800" i="0" u="none" strike="noStrike">
              <a:solidFill>
                <a:srgbClr val="000000"/>
              </a:solidFill>
              <a:latin typeface="Arial"/>
              <a:ea typeface="Arial"/>
              <a:cs typeface="Arial"/>
              <a:sym typeface="Arial"/>
            </a:rPr>
            <a:t>FFC Chapter in the User's Guide.</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209550</xdr:colOff>
      <xdr:row>1</xdr:row>
      <xdr:rowOff>123825</xdr:rowOff>
    </xdr:from>
    <xdr:ext cx="9467850" cy="714375"/>
    <xdr:sp macro="" textlink="">
      <xdr:nvSpPr>
        <xdr:cNvPr id="8" name="Shape 8">
          <a:extLst>
            <a:ext uri="{FF2B5EF4-FFF2-40B4-BE49-F238E27FC236}">
              <a16:creationId xmlns:a16="http://schemas.microsoft.com/office/drawing/2014/main" id="{00000000-0008-0000-0600-000008000000}"/>
            </a:ext>
          </a:extLst>
        </xdr:cNvPr>
        <xdr:cNvSpPr/>
      </xdr:nvSpPr>
      <xdr:spPr>
        <a:xfrm>
          <a:off x="616838" y="3427575"/>
          <a:ext cx="9458325" cy="70485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GHG emissions from fossil fuel combustion in the transportation sector are calculated by multiplying energy consumption (in the transportation sector) by carbon content coefficients for each fuel.  These quantities are then multiplied by fuel-specific percentages of carbon oxidized during combustion ("combustion efficiency").  The non-energy consumption of lubricants multiplied by its carbon storage factor must be subtracted from its energy consumption before carrying out the above calculations.  The resulting fuel emissions, in pounds of carbon, are then converted to short tons of carbon and million metric tons of carbon equivalent (MMTCE), then to million metric tons of carbon dioxide equivalent (MMTCO2E), and summed.   For further detail on this method, refer to EPA SIT User's Guide.</a:t>
          </a:r>
          <a:endParaRPr sz="1400"/>
        </a:p>
      </xdr:txBody>
    </xdr:sp>
    <xdr:clientData fLocksWithSheet="0"/>
  </xdr:oneCellAnchor>
  <xdr:oneCellAnchor>
    <xdr:from>
      <xdr:col>0</xdr:col>
      <xdr:colOff>209550</xdr:colOff>
      <xdr:row>1</xdr:row>
      <xdr:rowOff>123825</xdr:rowOff>
    </xdr:from>
    <xdr:ext cx="9467850" cy="714375"/>
    <xdr:sp macro="" textlink="">
      <xdr:nvSpPr>
        <xdr:cNvPr id="9" name="Shape 9">
          <a:extLst>
            <a:ext uri="{FF2B5EF4-FFF2-40B4-BE49-F238E27FC236}">
              <a16:creationId xmlns:a16="http://schemas.microsoft.com/office/drawing/2014/main" id="{00000000-0008-0000-0600-000009000000}"/>
            </a:ext>
          </a:extLst>
        </xdr:cNvPr>
        <xdr:cNvSpPr/>
      </xdr:nvSpPr>
      <xdr:spPr>
        <a:xfrm>
          <a:off x="616838" y="3427575"/>
          <a:ext cx="9458325" cy="70485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GHG emissions from fossil fuel combustion in the transportation sector are calculated by multiplying energy consumption (in the transportation sector) by carbon content coefficients for each fuel.  These quantities are then multiplied by fuel-specific percentages of carbon oxidized during combustion ("combustion efficiency").  The non-energy consumption of lubricants multiplied by its carbon storage factor must be subtracted from its energy consumption before carrying out the above calculations.  The resulting fuel emissions, in pounds of carbon, are then converted to short tons of carbon and million metric tons of carbon equivalent (MMTCE), then to million metric tons of carbon dioxide equivalent (MMTCO2E), and summed.   For further detail on this method, refer to EPA SIT User's Guide.</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38100</xdr:rowOff>
    </xdr:from>
    <xdr:ext cx="10153650" cy="2066925"/>
    <xdr:sp macro="" textlink="">
      <xdr:nvSpPr>
        <xdr:cNvPr id="19" name="Shape 19">
          <a:extLst>
            <a:ext uri="{FF2B5EF4-FFF2-40B4-BE49-F238E27FC236}">
              <a16:creationId xmlns:a16="http://schemas.microsoft.com/office/drawing/2014/main" id="{00000000-0008-0000-1000-000013000000}"/>
            </a:ext>
          </a:extLst>
        </xdr:cNvPr>
        <xdr:cNvSpPr/>
      </xdr:nvSpPr>
      <xdr:spPr>
        <a:xfrm>
          <a:off x="273938" y="2751300"/>
          <a:ext cx="10144125" cy="205740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Natural Gas Production are calculated as the sum of emissions from the three categories of production sites: onshore wells, offshore shallow water platforms, and offshore deepwater platforms.  The number of gas production sites (wells or platforms) is multiplied by a site-specific emission factor.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Natural Gas Transmission are calculated as the sum of methane emissions from the pipelines that transport gas, the gas processing stations, the transmission compressor stations, and gas storage compressor facilities.  Emissions from each source are calculated as the product of the activity factor (e.g., miles of pipeline or number of stations) and the source-specific emission factor.</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Natural Gas Distribution are calculated as the sum of emissions from distribution pipelines and end services.  The activity factor for each type of pipeline (e.g., miles of plastic distribution pipeline) is multiplied by the corresponding emission factor.  The number of services is multiplied by a general emission factor and type-specific emission factors.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Natural Gas Venting and Flaring are calculated as the percent of emissions flared (20% is vented with the remaining 80% flared).  The amount of gas that is vented or flared is multiplied by a national emission factor. This total of potential emissions is then multiplied by the percentage of gas flared and converted to million metric tons of carbon equivalent.  </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Source emissions are converted to metric tons of CO2 equivalent and metric tons of carbon equivalent, and then summed across all sources.  For further details, refer to the Methane Emissions from Natural Gas and Oil Systems Chapter of the EPA SIT User's Guide.</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Source emissions are converted to metric tons of CO2 equivalent and metric tons of carbon equivalent, and then summed across all sources.  For further details, refer to the Methane Emissions from Natural Gas and Oil Systems Chapter of the User's Guide.</a:t>
          </a:r>
          <a:endParaRPr sz="1400"/>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19050</xdr:rowOff>
    </xdr:from>
    <xdr:ext cx="9382125" cy="2486025"/>
    <xdr:sp macro="" textlink="">
      <xdr:nvSpPr>
        <xdr:cNvPr id="20" name="Shape 20">
          <a:extLst>
            <a:ext uri="{FF2B5EF4-FFF2-40B4-BE49-F238E27FC236}">
              <a16:creationId xmlns:a16="http://schemas.microsoft.com/office/drawing/2014/main" id="{00000000-0008-0000-1100-000014000000}"/>
            </a:ext>
          </a:extLst>
        </xdr:cNvPr>
        <xdr:cNvSpPr/>
      </xdr:nvSpPr>
      <xdr:spPr>
        <a:xfrm>
          <a:off x="659700" y="2541750"/>
          <a:ext cx="9372600" cy="2476500"/>
        </a:xfrm>
        <a:prstGeom prst="rect">
          <a:avLst/>
        </a:prstGeom>
        <a:solidFill>
          <a:srgbClr val="C0C0C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Coal Mining are calculated by summing the emissions from underground mines, surface mines, and post-mining activities.</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Underground mine emissions are comprised of two parts: methane emitted from ventilation systems and methane emitted from degasification systems. Emissions from degasification systems are equal to the difference between methane removed through degasification and methane used for energy purposes. </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Surface mine emissions are the product of surface coal mine production and a basin-specific EF.  </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Emissions from post-mining activities, such as transportation and coal handling, are equal to the sum of post-mining emissions from underground and surface mines; the emissions are each calculated as the product of coal production times a basin and mine-type specific EF.  </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Total emissions from coal mining are the sum of emissions from underground mines, surface mines, and post-mining activities at both types of mines.</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Emissions from Abandoned Coal Mines are calculated by summing the emissions from mines that are vented, sealed, or flooded.</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Different coal seams vary in the amount of gas present initially and the way the methane is adsorbed to the coal (i.e. some coals release methane more readily than others).</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A vented mine is one that can release methane to the atmosphere freely.  The emissions of vented mines will depend on time since abandonment and coal characteristics.</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A sealed mine has been sealed to prevent the escape of methane.  However given the nature of the rock used to seal mines, such sealing is never 100 percent effective.  The effect of a seal is to slow the methane emissions to spread them out over a longer period of time.</a:t>
          </a:r>
          <a:endParaRPr sz="1400"/>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 After a mine is abandoned and in a flood prone area, the mine will fill up with water.  A completely flooded mine releases little to no methane to the atmosphere.  Therefore, most emissions will occur in the first few years following abandonment.</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a:p>
          <a:pPr marL="0" lvl="0" indent="0" algn="l" rtl="0">
            <a:spcBef>
              <a:spcPts val="0"/>
            </a:spcBef>
            <a:spcAft>
              <a:spcPts val="0"/>
            </a:spcAft>
            <a:buClr>
              <a:srgbClr val="000000"/>
            </a:buClr>
            <a:buSzPts val="800"/>
            <a:buFont typeface="Arial"/>
            <a:buNone/>
          </a:pPr>
          <a:r>
            <a:rPr lang="en-US" sz="800" i="0" u="none" strike="noStrike">
              <a:solidFill>
                <a:srgbClr val="000000"/>
              </a:solidFill>
              <a:latin typeface="Arial"/>
              <a:ea typeface="Arial"/>
              <a:cs typeface="Arial"/>
              <a:sym typeface="Arial"/>
            </a:rPr>
            <a:t>For more information, please refer to the Coal Mining chapter of the EPA SIT User's Guide.</a:t>
          </a:r>
          <a:endParaRPr sz="1400"/>
        </a:p>
        <a:p>
          <a:pPr marL="0" lvl="0" indent="0" algn="l" rtl="0">
            <a:spcBef>
              <a:spcPts val="0"/>
            </a:spcBef>
            <a:spcAft>
              <a:spcPts val="0"/>
            </a:spcAft>
            <a:buSzPts val="800"/>
            <a:buFont typeface="Arial"/>
            <a:buNone/>
          </a:pPr>
          <a:endParaRPr sz="800" i="0" u="none" strike="noStrike">
            <a:solidFill>
              <a:srgbClr val="000000"/>
            </a:solidFill>
            <a:latin typeface="Arial"/>
            <a:ea typeface="Arial"/>
            <a:cs typeface="Arial"/>
            <a:sym typeface="Aria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hyperlink" Target="https://www.fs.usda.gov/rds/archive/Catalog/RDS-2021-0035" TargetMode="External"/><Relationship Id="rId1" Type="http://schemas.openxmlformats.org/officeDocument/2006/relationships/hyperlink" Target="https://www.nrs.fs.fed.us/pubs/62418" TargetMode="External"/><Relationship Id="rId4" Type="http://schemas.openxmlformats.org/officeDocument/2006/relationships/comments" Target="../comments1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4"/>
  <sheetViews>
    <sheetView showGridLines="0" tabSelected="1" workbookViewId="0"/>
  </sheetViews>
  <sheetFormatPr defaultColWidth="16.85546875" defaultRowHeight="10.199999999999999"/>
  <cols>
    <col min="1" max="1" width="4.42578125" customWidth="1"/>
    <col min="2" max="2" width="8" customWidth="1"/>
    <col min="3" max="3" width="75.85546875" customWidth="1"/>
    <col min="4" max="5" width="16.85546875" customWidth="1"/>
    <col min="6" max="6" width="10.7109375" customWidth="1"/>
    <col min="7" max="7" width="16.28515625" customWidth="1"/>
    <col min="8" max="8" width="8.85546875" customWidth="1"/>
  </cols>
  <sheetData>
    <row r="1" spans="1:8" ht="18">
      <c r="B1" s="1581" t="s">
        <v>0</v>
      </c>
    </row>
    <row r="2" spans="1:8" ht="15" customHeight="1">
      <c r="A2" s="1"/>
      <c r="B2" s="3"/>
      <c r="C2" s="1584"/>
      <c r="D2" s="1653" t="s">
        <v>1</v>
      </c>
      <c r="E2" s="1653"/>
    </row>
    <row r="3" spans="1:8" ht="15" customHeight="1">
      <c r="A3" s="1"/>
      <c r="B3" s="3"/>
      <c r="C3" s="1585"/>
      <c r="D3" s="1587" t="s">
        <v>3</v>
      </c>
      <c r="E3" s="1588" t="s">
        <v>2</v>
      </c>
    </row>
    <row r="4" spans="1:8" ht="15" customHeight="1">
      <c r="A4" s="1"/>
      <c r="B4" s="3"/>
      <c r="C4" s="1582" t="s">
        <v>4</v>
      </c>
      <c r="D4" s="1587">
        <v>1</v>
      </c>
      <c r="E4" s="1588">
        <v>1</v>
      </c>
    </row>
    <row r="5" spans="1:8" ht="15" customHeight="1">
      <c r="A5" s="1"/>
      <c r="B5" s="3"/>
      <c r="C5" s="1582" t="s">
        <v>5</v>
      </c>
      <c r="D5" s="1587">
        <v>84</v>
      </c>
      <c r="E5" s="1588">
        <v>28</v>
      </c>
      <c r="F5" s="1646"/>
      <c r="H5" s="1647"/>
    </row>
    <row r="6" spans="1:8" ht="15" customHeight="1">
      <c r="A6" s="1"/>
      <c r="B6" s="3"/>
      <c r="C6" s="1582" t="s">
        <v>6</v>
      </c>
      <c r="D6" s="1587">
        <v>264</v>
      </c>
      <c r="E6" s="1588">
        <v>265</v>
      </c>
      <c r="F6" s="1646"/>
      <c r="H6" s="1647"/>
    </row>
    <row r="7" spans="1:8" ht="15" customHeight="1">
      <c r="A7" s="1"/>
      <c r="B7" s="3"/>
      <c r="C7" s="1582" t="s">
        <v>7</v>
      </c>
      <c r="D7" s="1587">
        <v>17500</v>
      </c>
      <c r="E7" s="1587">
        <v>23500</v>
      </c>
      <c r="F7" s="1646"/>
      <c r="G7" s="1648"/>
      <c r="H7" s="1647"/>
    </row>
    <row r="8" spans="1:8" ht="15" customHeight="1" thickBot="1">
      <c r="A8" s="1"/>
      <c r="B8" s="3"/>
      <c r="C8" s="1586" t="s">
        <v>8</v>
      </c>
      <c r="D8" s="1654" t="s">
        <v>9</v>
      </c>
      <c r="E8" s="1654"/>
    </row>
    <row r="9" spans="1:8" ht="16.2" thickBot="1">
      <c r="A9" s="1"/>
      <c r="B9" s="1655" t="s">
        <v>1452</v>
      </c>
      <c r="C9" s="1656"/>
      <c r="D9" s="1613" t="s">
        <v>11</v>
      </c>
      <c r="E9" s="1613" t="s">
        <v>10</v>
      </c>
    </row>
    <row r="10" spans="1:8" ht="15.6">
      <c r="A10" s="1"/>
      <c r="B10" s="1657" t="s">
        <v>1453</v>
      </c>
      <c r="C10" s="1658"/>
      <c r="D10" s="1614">
        <f t="shared" ref="D10" si="0">D11+D30+D47+D80</f>
        <v>99.05379719980121</v>
      </c>
      <c r="E10" s="1614">
        <f t="shared" ref="E10" si="1">E11+E30+E47+E80</f>
        <v>96.131634537215675</v>
      </c>
    </row>
    <row r="11" spans="1:8" ht="14.4">
      <c r="A11" s="1"/>
      <c r="B11" s="1615" t="s">
        <v>46</v>
      </c>
      <c r="C11" s="1616"/>
      <c r="D11" s="1617">
        <f t="shared" ref="D11" si="2">D12+D29</f>
        <v>42.475962534358814</v>
      </c>
      <c r="E11" s="1617">
        <f t="shared" ref="E11" si="3">E12+E29</f>
        <v>42.457414206129286</v>
      </c>
      <c r="F11" s="1"/>
    </row>
    <row r="12" spans="1:8" ht="14.4">
      <c r="A12" s="1"/>
      <c r="B12" s="1618"/>
      <c r="C12" s="1619" t="s">
        <v>12</v>
      </c>
      <c r="D12" s="1614">
        <f t="shared" ref="D12" si="4">D13+D17+D21+D25</f>
        <v>32.165135623924037</v>
      </c>
      <c r="E12" s="1614">
        <f>E13+E17+E21</f>
        <v>32.146587295694516</v>
      </c>
      <c r="F12" s="1"/>
    </row>
    <row r="13" spans="1:8" ht="14.4">
      <c r="A13" s="1"/>
      <c r="B13" s="1620"/>
      <c r="C13" s="1621" t="s">
        <v>253</v>
      </c>
      <c r="D13" s="1614">
        <f>SUM(D14:D16)</f>
        <v>28.275874792915491</v>
      </c>
      <c r="E13" s="1614">
        <f>SUM(E14:E16)</f>
        <v>28.259377083675432</v>
      </c>
      <c r="F13" s="1"/>
    </row>
    <row r="14" spans="1:8" ht="15.6">
      <c r="A14" s="1"/>
      <c r="B14" s="1620"/>
      <c r="C14" s="1622" t="s">
        <v>1454</v>
      </c>
      <c r="D14" s="1623">
        <f>E14/_xlfn.XLOOKUP(C14,C$4:C$7,E$4:E$7,"ERROR")*_xlfn.XLOOKUP(C14,C$4:C$7,D$4:D$7,"ERROR")</f>
        <v>28.130573867498466</v>
      </c>
      <c r="E14" s="1623">
        <f>'EGU Production RGGI Units'!F261</f>
        <v>28.130573867498466</v>
      </c>
      <c r="F14" s="1"/>
    </row>
    <row r="15" spans="1:8" ht="15.6">
      <c r="A15" s="1"/>
      <c r="B15" s="1620"/>
      <c r="C15" s="1622" t="s">
        <v>1455</v>
      </c>
      <c r="D15" s="1623">
        <f t="shared" ref="D15:D16" si="5">E15/_xlfn.XLOOKUP(C15,C$4:C$7,E$4:E$7,"ERROR")*_xlfn.XLOOKUP(C15,C$4:C$7,D$4:D$7,"ERROR")</f>
        <v>2.5427661947979137E-2</v>
      </c>
      <c r="E15" s="1623">
        <f>'EGU Production RGGI Units'!G280</f>
        <v>8.4758873159930456E-3</v>
      </c>
      <c r="F15" s="1"/>
    </row>
    <row r="16" spans="1:8" ht="15.6">
      <c r="A16" s="1"/>
      <c r="B16" s="1620"/>
      <c r="C16" s="1622" t="s">
        <v>1456</v>
      </c>
      <c r="D16" s="1623">
        <f t="shared" si="5"/>
        <v>0.11987326346904449</v>
      </c>
      <c r="E16" s="1623">
        <f>'EGU Production RGGI Units'!G292</f>
        <v>0.12032732886097269</v>
      </c>
      <c r="F16" s="1"/>
    </row>
    <row r="17" spans="1:6" ht="14.4">
      <c r="A17" s="1"/>
      <c r="B17" s="1620"/>
      <c r="C17" s="1621" t="s">
        <v>399</v>
      </c>
      <c r="D17" s="1614">
        <f>SUM(D18:D20)</f>
        <v>3.6515292672723603</v>
      </c>
      <c r="E17" s="1614">
        <f>SUM(E18:E20)</f>
        <v>3.6499513800019345</v>
      </c>
      <c r="F17" s="1"/>
    </row>
    <row r="18" spans="1:6" ht="15.6">
      <c r="A18" s="1"/>
      <c r="B18" s="1620"/>
      <c r="C18" s="1622" t="s">
        <v>1454</v>
      </c>
      <c r="D18" s="1623">
        <f>E18/_xlfn.XLOOKUP(C18,C$4:C$7,E$4:E$7,"ERROR")*_xlfn.XLOOKUP(C18,C$4:C$7,D$4:D$7,"ERROR")</f>
        <v>3.6484130104806791</v>
      </c>
      <c r="E18" s="1623">
        <f>'EGU Production RGGI Units'!F265+'EGU Production Non-RGGI Units'!I105</f>
        <v>3.6484130104806791</v>
      </c>
      <c r="F18" s="1"/>
    </row>
    <row r="19" spans="1:6" ht="15.6">
      <c r="A19" s="1"/>
      <c r="B19" s="1620"/>
      <c r="C19" s="1622" t="s">
        <v>1455</v>
      </c>
      <c r="D19" s="1623">
        <f t="shared" ref="D19:D20" si="6">E19/_xlfn.XLOOKUP(C19,C$4:C$7,E$4:E$7,"ERROR")*_xlfn.XLOOKUP(C19,C$4:C$7,D$4:D$7,"ERROR")</f>
        <v>2.3710649501921238E-3</v>
      </c>
      <c r="E19" s="1623">
        <f>'EGU Production RGGI Units'!G283+'EGU Production Non-RGGI Units'!G117</f>
        <v>7.9035498339737466E-4</v>
      </c>
      <c r="F19" s="1"/>
    </row>
    <row r="20" spans="1:6" ht="15.6">
      <c r="A20" s="1"/>
      <c r="B20" s="1620"/>
      <c r="C20" s="1622" t="s">
        <v>1456</v>
      </c>
      <c r="D20" s="1623">
        <f t="shared" si="6"/>
        <v>7.4519184148895347E-4</v>
      </c>
      <c r="E20" s="1623">
        <f>'EGU Production RGGI Units'!G295+'EGU Production Non-RGGI Units'!G129</f>
        <v>7.4801453785822982E-4</v>
      </c>
      <c r="F20" s="1"/>
    </row>
    <row r="21" spans="1:6" ht="14.4">
      <c r="A21" s="1"/>
      <c r="B21" s="1620"/>
      <c r="C21" s="1621" t="s">
        <v>611</v>
      </c>
      <c r="D21" s="1614">
        <f>SUM(D22:D24)</f>
        <v>0.23773156373618862</v>
      </c>
      <c r="E21" s="1614">
        <f>SUM(E22:E24)</f>
        <v>0.23725883201715006</v>
      </c>
      <c r="F21" s="1"/>
    </row>
    <row r="22" spans="1:6" ht="15.6">
      <c r="A22" s="1"/>
      <c r="B22" s="1620"/>
      <c r="C22" s="1622" t="s">
        <v>1454</v>
      </c>
      <c r="D22" s="1623">
        <f>E22/_xlfn.XLOOKUP(C22,C$4:C$7,E$4:E$7,"ERROR")*_xlfn.XLOOKUP(C22,C$4:C$7,D$4:D$7,"ERROR")</f>
        <v>0.23657260855402951</v>
      </c>
      <c r="E22" s="1623">
        <f>'EGU Production RGGI Units'!F263+'EGU Production Non-RGGI Units'!I103+'EGU Production Non-RGGI Units'!I104</f>
        <v>0.23657260855402951</v>
      </c>
      <c r="F22" s="1"/>
    </row>
    <row r="23" spans="1:6" ht="15.6">
      <c r="A23" s="1"/>
      <c r="B23" s="1620"/>
      <c r="C23" s="1622" t="s">
        <v>1455</v>
      </c>
      <c r="D23" s="1623">
        <f t="shared" ref="D23:D24" si="7">E23/_xlfn.XLOOKUP(C23,C$4:C$7,E$4:E$7,"ERROR")*_xlfn.XLOOKUP(C23,C$4:C$7,D$4:D$7,"ERROR")</f>
        <v>7.1163914693981884E-4</v>
      </c>
      <c r="E23" s="1623">
        <f>'EGU Production RGGI Units'!G281+'EGU Production RGGI Units'!G282+'EGU Production Non-RGGI Units'!G115+'EGU Production Non-RGGI Units'!G116</f>
        <v>2.372130489799396E-4</v>
      </c>
      <c r="F23" s="1"/>
    </row>
    <row r="24" spans="1:6" ht="15.6">
      <c r="A24" s="1"/>
      <c r="B24" s="1620"/>
      <c r="C24" s="1622" t="s">
        <v>1456</v>
      </c>
      <c r="D24" s="1623">
        <f t="shared" si="7"/>
        <v>4.4731603521931451E-4</v>
      </c>
      <c r="E24" s="1623">
        <f>'EGU Production RGGI Units'!G293+'EGU Production RGGI Units'!G294+'EGU Production Non-RGGI Units'!G127+'EGU Production Non-RGGI Units'!G128</f>
        <v>4.4901041414059981E-4</v>
      </c>
      <c r="F24" s="1"/>
    </row>
    <row r="25" spans="1:6" ht="14.4">
      <c r="A25" s="1"/>
      <c r="B25" s="1620"/>
      <c r="C25" s="1621" t="s">
        <v>755</v>
      </c>
      <c r="D25" s="1614">
        <f>SUM(D26:D28)</f>
        <v>0</v>
      </c>
      <c r="E25" s="1614">
        <f>SUM(E26:E28)</f>
        <v>0</v>
      </c>
      <c r="F25" s="1"/>
    </row>
    <row r="26" spans="1:6" ht="15.6">
      <c r="A26" s="1"/>
      <c r="B26" s="1620"/>
      <c r="C26" s="1622" t="s">
        <v>1454</v>
      </c>
      <c r="D26" s="1623">
        <f>E26/_xlfn.XLOOKUP(C26,C$4:C$7,E$4:E$7,"ERROR")*_xlfn.XLOOKUP(C26,C$4:C$7,D$4:D$7,"ERROR")</f>
        <v>0</v>
      </c>
      <c r="E26" s="1623">
        <v>0</v>
      </c>
      <c r="F26" s="1"/>
    </row>
    <row r="27" spans="1:6" ht="15.6">
      <c r="A27" s="1"/>
      <c r="B27" s="1620"/>
      <c r="C27" s="1622" t="s">
        <v>1455</v>
      </c>
      <c r="D27" s="1623">
        <f t="shared" ref="D27:D28" si="8">E27/_xlfn.XLOOKUP(C27,C$4:C$7,E$4:E$7,"ERROR")*_xlfn.XLOOKUP(C27,C$4:C$7,D$4:D$7,"ERROR")</f>
        <v>0</v>
      </c>
      <c r="E27" s="1623">
        <v>0</v>
      </c>
      <c r="F27" s="1"/>
    </row>
    <row r="28" spans="1:6" ht="15.6">
      <c r="A28" s="1"/>
      <c r="B28" s="1620"/>
      <c r="C28" s="1622" t="s">
        <v>1456</v>
      </c>
      <c r="D28" s="1623">
        <f t="shared" si="8"/>
        <v>0</v>
      </c>
      <c r="E28" s="1623">
        <v>0</v>
      </c>
      <c r="F28" s="1"/>
    </row>
    <row r="29" spans="1:6" ht="14.4">
      <c r="A29" s="1"/>
      <c r="B29" s="1624"/>
      <c r="C29" s="1619" t="s">
        <v>13</v>
      </c>
      <c r="D29" s="1623">
        <f>E29</f>
        <v>10.310826910434773</v>
      </c>
      <c r="E29" s="1623">
        <f>'Imported Electricity'!K76</f>
        <v>10.310826910434773</v>
      </c>
      <c r="F29" s="1"/>
    </row>
    <row r="30" spans="1:6" ht="14.4">
      <c r="A30" s="1"/>
      <c r="B30" s="1615" t="s">
        <v>14</v>
      </c>
      <c r="C30" s="1616"/>
      <c r="D30" s="1617">
        <f t="shared" ref="D30" si="9">D31+D35+D39+D43</f>
        <v>17.140791578509258</v>
      </c>
      <c r="E30" s="1617">
        <f t="shared" ref="E30" si="10">E31+E35+E39+E43</f>
        <v>16.893541495979825</v>
      </c>
      <c r="F30" s="1"/>
    </row>
    <row r="31" spans="1:6" ht="14.4">
      <c r="A31" s="1"/>
      <c r="B31" s="1618"/>
      <c r="C31" s="1625" t="s">
        <v>253</v>
      </c>
      <c r="D31" s="1614">
        <f>SUM(D32:D34)</f>
        <v>3.0170375779855712</v>
      </c>
      <c r="E31" s="1614">
        <f>SUM(E32:E34)</f>
        <v>2.9980582282399628</v>
      </c>
      <c r="F31" s="1"/>
    </row>
    <row r="32" spans="1:6" ht="15.6">
      <c r="A32" s="1"/>
      <c r="B32" s="1620"/>
      <c r="C32" s="1622" t="s">
        <v>1454</v>
      </c>
      <c r="D32" s="1623">
        <f>E32/_xlfn.XLOOKUP(C32,C$4:C$7,E$4:E$7,"ERROR")*_xlfn.XLOOKUP(C32,C$4:C$7,D$4:D$7,"ERROR")</f>
        <v>2.9761269853411139</v>
      </c>
      <c r="E32" s="1623">
        <f>Residential!G7+Commercial!G8+Industrial!J9</f>
        <v>2.9761269853411139</v>
      </c>
      <c r="F32" s="1"/>
    </row>
    <row r="33" spans="1:6" ht="15.6">
      <c r="A33" s="1"/>
      <c r="B33" s="1620"/>
      <c r="C33" s="1622" t="s">
        <v>1455</v>
      </c>
      <c r="D33" s="1623">
        <f t="shared" ref="D33:D34" si="11">E33/_xlfn.XLOOKUP(C33,C$4:C$7,E$4:E$7,"ERROR")*_xlfn.XLOOKUP(C33,C$4:C$7,D$4:D$7,"ERROR")</f>
        <v>2.8539315963192959E-2</v>
      </c>
      <c r="E33" s="1623">
        <f>Residential!G31+Commercial!G37+Industrial!H70</f>
        <v>9.5131053210643201E-3</v>
      </c>
      <c r="F33" s="1"/>
    </row>
    <row r="34" spans="1:6" ht="15.6">
      <c r="A34" s="1"/>
      <c r="B34" s="1620"/>
      <c r="C34" s="1622" t="s">
        <v>1456</v>
      </c>
      <c r="D34" s="1623">
        <f t="shared" si="11"/>
        <v>1.2371276681264512E-2</v>
      </c>
      <c r="E34" s="1623">
        <f>Residential!G18+Commercial!G22+Industrial!H39</f>
        <v>1.2418137577784453E-2</v>
      </c>
      <c r="F34" s="1"/>
    </row>
    <row r="35" spans="1:6" ht="14.4">
      <c r="A35" s="1"/>
      <c r="B35" s="1620"/>
      <c r="C35" s="1625" t="s">
        <v>1457</v>
      </c>
      <c r="D35" s="1614">
        <f>SUM(D36:D38)</f>
        <v>9.2574680928116919</v>
      </c>
      <c r="E35" s="1614">
        <f>SUM(E36:E38)</f>
        <v>9.2148206118244786</v>
      </c>
      <c r="F35" s="1"/>
    </row>
    <row r="36" spans="1:6" ht="15.6">
      <c r="A36" s="1"/>
      <c r="B36" s="1620"/>
      <c r="C36" s="1622" t="s">
        <v>1454</v>
      </c>
      <c r="D36" s="1623">
        <f>E36/_xlfn.XLOOKUP(C36,C$4:C$7,E$4:E$7,"ERROR")*_xlfn.XLOOKUP(C36,C$4:C$7,D$4:D$7,"ERROR")</f>
        <v>9.1880239703649558</v>
      </c>
      <c r="E36" s="1623">
        <f>Residential!G11+Residential!G10+Commercial!G14+Commercial!G11+Industrial!J29+Industrial!J17</f>
        <v>9.1880239703649558</v>
      </c>
      <c r="F36" s="1"/>
    </row>
    <row r="37" spans="1:6" ht="15.6">
      <c r="A37" s="1"/>
      <c r="B37" s="1620"/>
      <c r="C37" s="1622" t="s">
        <v>1455</v>
      </c>
      <c r="D37" s="1623">
        <f t="shared" ref="D37:D38" si="12">E37/_xlfn.XLOOKUP(C37,C$4:C$7,E$4:E$7,"ERROR")*_xlfn.XLOOKUP(C37,C$4:C$7,D$4:D$7,"ERROR")</f>
        <v>6.4002141825259845E-2</v>
      </c>
      <c r="E37" s="1623">
        <f>Residential!G35+Residential!G34+Commercial!G43+Commercial!G40+Industrial!H90+Industrial!H78</f>
        <v>2.1334047275086612E-2</v>
      </c>
      <c r="F37" s="1"/>
    </row>
    <row r="38" spans="1:6" ht="15.6">
      <c r="A38" s="1"/>
      <c r="B38" s="1620"/>
      <c r="C38" s="1622" t="s">
        <v>1456</v>
      </c>
      <c r="D38" s="1623">
        <f t="shared" si="12"/>
        <v>5.4419806214758525E-3</v>
      </c>
      <c r="E38" s="1623">
        <f>Residential!G22+Residential!G21+Commercial!G28+Commercial!G25+Industrial!H59+Industrial!H47</f>
        <v>5.4625941844359885E-3</v>
      </c>
      <c r="F38" s="1"/>
    </row>
    <row r="39" spans="1:6" ht="14.4">
      <c r="A39" s="1"/>
      <c r="B39" s="1620"/>
      <c r="C39" s="1625" t="s">
        <v>448</v>
      </c>
      <c r="D39" s="1614">
        <f>SUM(D40:D42)</f>
        <v>4.6004874639962958</v>
      </c>
      <c r="E39" s="1614">
        <f>SUM(E40:E42)</f>
        <v>4.5778311975433512</v>
      </c>
      <c r="F39" s="1"/>
    </row>
    <row r="40" spans="1:6" ht="15.6">
      <c r="A40" s="1"/>
      <c r="B40" s="1620"/>
      <c r="C40" s="1622" t="s">
        <v>1454</v>
      </c>
      <c r="D40" s="1623">
        <f>E40/_xlfn.XLOOKUP(C40,C$4:C$7,E$4:E$7,"ERROR")*_xlfn.XLOOKUP(C40,C$4:C$7,D$4:D$7,"ERROR")</f>
        <v>4.5574772247834741</v>
      </c>
      <c r="E40" s="1623">
        <f>Residential!G8+Residential!G9+Commercial!G12+Commercial!G13+Commercial!G9+Commercial!G10+Industrial!J13+Industrial!J14+Industrial!J15+Industrial!J16+Industrial!J18+Industrial!J21+Industrial!J23+Industrial!J24+Industrial!J26+Industrial!J28+Industrial!J19</f>
        <v>4.5574772247834741</v>
      </c>
      <c r="F40" s="1"/>
    </row>
    <row r="41" spans="1:6" ht="15.6">
      <c r="A41" s="1"/>
      <c r="B41" s="1620"/>
      <c r="C41" s="1622" t="s">
        <v>1455</v>
      </c>
      <c r="D41" s="1623">
        <f t="shared" ref="D41:D42" si="13">E41/_xlfn.XLOOKUP(C41,C$4:C$7,E$4:E$7,"ERROR")*_xlfn.XLOOKUP(C41,C$4:C$7,D$4:D$7,"ERROR")</f>
        <v>3.4035393123108819E-2</v>
      </c>
      <c r="E41" s="1623">
        <f>Residential!G32+Residential!G33+Commercial!G38+Commercial!G39+Commercial!G41+Commercial!G42+Industrial!H74+Industrial!H75+Industrial!H76+Industrial!H77+Industrial!H80+Industrial!H84+Industrial!H85+Industrial!H87</f>
        <v>1.1345131041036273E-2</v>
      </c>
      <c r="F41" s="1"/>
    </row>
    <row r="42" spans="1:6" ht="15.6">
      <c r="A42" s="1"/>
      <c r="B42" s="1620"/>
      <c r="C42" s="1622" t="s">
        <v>1456</v>
      </c>
      <c r="D42" s="1623">
        <f t="shared" si="13"/>
        <v>8.9748460897135368E-3</v>
      </c>
      <c r="E42" s="1623">
        <f>Residential!G19+Residential!G20+Commercial!G23+Commercial!G24+Commercial!G26+Commercial!G27+Industrial!H43+Industrial!H44+Industrial!H45+Industrial!H46+Industrial!H49+Industrial!H53+Industrial!H54+Industrial!H56</f>
        <v>9.0088417188412401E-3</v>
      </c>
      <c r="F42" s="1"/>
    </row>
    <row r="43" spans="1:6" ht="14.4">
      <c r="A43" s="1"/>
      <c r="B43" s="1620"/>
      <c r="C43" s="1625" t="s">
        <v>1458</v>
      </c>
      <c r="D43" s="1614">
        <f>SUM(D44:D46)</f>
        <v>0.26579844371569999</v>
      </c>
      <c r="E43" s="1614">
        <f>SUM(E44:E46)</f>
        <v>0.102831458372034</v>
      </c>
      <c r="F43" s="1"/>
    </row>
    <row r="44" spans="1:6" ht="15.6">
      <c r="A44" s="1"/>
      <c r="B44" s="1620"/>
      <c r="C44" s="1622" t="s">
        <v>1454</v>
      </c>
      <c r="D44" s="1623">
        <f>E44/_xlfn.XLOOKUP(C44,C$4:C$7,E$4:E$7,"ERROR")*_xlfn.XLOOKUP(C44,C$4:C$7,D$4:D$7,"ERROR")</f>
        <v>0</v>
      </c>
      <c r="E44" s="1623">
        <v>0</v>
      </c>
      <c r="F44" s="1"/>
    </row>
    <row r="45" spans="1:6" ht="15.6">
      <c r="A45" s="1"/>
      <c r="B45" s="1620"/>
      <c r="C45" s="1622" t="s">
        <v>1455</v>
      </c>
      <c r="D45" s="1623">
        <f t="shared" ref="D45:D46" si="14">E45/_xlfn.XLOOKUP(C45,C$4:C$7,E$4:E$7,"ERROR")*_xlfn.XLOOKUP(C45,C$4:C$7,D$4:D$7,"ERROR")</f>
        <v>0.2445710879912063</v>
      </c>
      <c r="E45" s="1623">
        <f>Residential!G36+Commercial!G44+Industrial!H91</f>
        <v>8.1523695997068768E-2</v>
      </c>
      <c r="F45" s="1"/>
    </row>
    <row r="46" spans="1:6" ht="15.6">
      <c r="A46" s="1"/>
      <c r="B46" s="1624"/>
      <c r="C46" s="1622" t="s">
        <v>1456</v>
      </c>
      <c r="D46" s="1623">
        <f t="shared" si="14"/>
        <v>2.1227355724493673E-2</v>
      </c>
      <c r="E46" s="1623">
        <f>Residential!G23+Commercial!G29+Industrial!H60</f>
        <v>2.130776237496524E-2</v>
      </c>
      <c r="F46" s="1"/>
    </row>
    <row r="47" spans="1:6" ht="14.4">
      <c r="A47" s="1"/>
      <c r="B47" s="1615" t="s">
        <v>15</v>
      </c>
      <c r="C47" s="1616"/>
      <c r="D47" s="1617">
        <f t="shared" ref="D47" si="15">D48+D52+D56+D60+D64+D68+D72+D76</f>
        <v>35.553548333177119</v>
      </c>
      <c r="E47" s="1617">
        <f t="shared" ref="E47" si="16">E48+E52+E56+E60+E64+E68+E72+E76</f>
        <v>35.408342693846663</v>
      </c>
      <c r="F47" s="1"/>
    </row>
    <row r="48" spans="1:6" ht="14.4">
      <c r="A48" s="1"/>
      <c r="B48" s="1618"/>
      <c r="C48" s="1625" t="s">
        <v>16</v>
      </c>
      <c r="D48" s="1614">
        <f>SUM(D49:D51)</f>
        <v>23.821190967741934</v>
      </c>
      <c r="E48" s="1614">
        <f>SUM(E49:E51)</f>
        <v>23.699662903225807</v>
      </c>
      <c r="F48" s="1"/>
    </row>
    <row r="49" spans="1:6" ht="15.6">
      <c r="A49" s="1"/>
      <c r="B49" s="1620"/>
      <c r="C49" s="1622" t="s">
        <v>1454</v>
      </c>
      <c r="D49" s="1623">
        <f>E49/_xlfn.XLOOKUP(C49,C$4:C$7,E$4:E$7,"ERROR")*_xlfn.XLOOKUP(C49,C$4:C$7,D$4:D$7,"ERROR")</f>
        <v>23.195</v>
      </c>
      <c r="E49" s="1623">
        <f>Transportation!E96</f>
        <v>23.195</v>
      </c>
      <c r="F49" s="1"/>
    </row>
    <row r="50" spans="1:6" ht="15.6">
      <c r="A50" s="1"/>
      <c r="B50" s="1620"/>
      <c r="C50" s="1622" t="s">
        <v>1455</v>
      </c>
      <c r="D50" s="1623">
        <f t="shared" ref="D50:D51" si="17">E50/_xlfn.XLOOKUP(C50,C$4:C$7,E$4:E$7,"ERROR")*_xlfn.XLOOKUP(C50,C$4:C$7,D$4:D$7,"ERROR")</f>
        <v>0.18479999999999996</v>
      </c>
      <c r="E50" s="1623">
        <f>(Transportation!G96)*($E$5/21)</f>
        <v>6.1599999999999995E-2</v>
      </c>
      <c r="F50" s="1"/>
    </row>
    <row r="51" spans="1:6" ht="15.6">
      <c r="A51" s="1"/>
      <c r="B51" s="1620"/>
      <c r="C51" s="1622" t="s">
        <v>1456</v>
      </c>
      <c r="D51" s="1623">
        <f t="shared" si="17"/>
        <v>0.44139096774193548</v>
      </c>
      <c r="E51" s="1623">
        <f>Transportation!I96*($E$6/310)</f>
        <v>0.44306290322580644</v>
      </c>
      <c r="F51" s="1"/>
    </row>
    <row r="52" spans="1:6" ht="14.4">
      <c r="A52" s="1"/>
      <c r="B52" s="1620"/>
      <c r="C52" s="1625" t="s">
        <v>17</v>
      </c>
      <c r="D52" s="1614">
        <f>SUM(D53:D55)</f>
        <v>1.0463378054709815</v>
      </c>
      <c r="E52" s="1614">
        <f>SUM(E53:E55)</f>
        <v>1.0438950226499677</v>
      </c>
      <c r="F52" s="1"/>
    </row>
    <row r="53" spans="1:6" ht="15.6">
      <c r="A53" s="1"/>
      <c r="B53" s="1620"/>
      <c r="C53" s="1622" t="s">
        <v>1454</v>
      </c>
      <c r="D53" s="1623">
        <f>E53/_xlfn.XLOOKUP(C53,C$4:C$7,E$4:E$7,"ERROR")*_xlfn.XLOOKUP(C53,C$4:C$7,D$4:D$7,"ERROR")</f>
        <v>1.0395505155055149</v>
      </c>
      <c r="E53" s="1623">
        <f>Transportation!O64+Transportation!O65+Transportation!O66+Transportation!O67</f>
        <v>1.0395505155055149</v>
      </c>
      <c r="F53" s="1"/>
    </row>
    <row r="54" spans="1:6" ht="15.6">
      <c r="A54" s="1"/>
      <c r="B54" s="1620"/>
      <c r="C54" s="1622" t="s">
        <v>1455</v>
      </c>
      <c r="D54" s="1623">
        <f t="shared" ref="D54:D55" si="18">E54/_xlfn.XLOOKUP(C54,C$4:C$7,E$4:E$7,"ERROR")*_xlfn.XLOOKUP(C54,C$4:C$7,D$4:D$7,"ERROR")</f>
        <v>3.6818189531815817E-3</v>
      </c>
      <c r="E54" s="1623">
        <f>(Transportation!AE64+Transportation!AE65+Transportation!AE66+Transportation!AE67)/1000000</f>
        <v>1.2272729843938604E-3</v>
      </c>
      <c r="F54" s="1"/>
    </row>
    <row r="55" spans="1:6" ht="15.6">
      <c r="A55" s="1"/>
      <c r="B55" s="1620"/>
      <c r="C55" s="1622" t="s">
        <v>1456</v>
      </c>
      <c r="D55" s="1623">
        <f t="shared" si="18"/>
        <v>3.1054710122851294E-3</v>
      </c>
      <c r="E55" s="1623">
        <f>SUM(Transportation!X64:X67)/1000000</f>
        <v>3.1172341600589366E-3</v>
      </c>
      <c r="F55" s="1"/>
    </row>
    <row r="56" spans="1:6" ht="14.4">
      <c r="A56" s="1"/>
      <c r="B56" s="1620"/>
      <c r="C56" s="1625" t="s">
        <v>18</v>
      </c>
      <c r="D56" s="1614">
        <f>SUM(D57:D59)</f>
        <v>5.9107548387096775</v>
      </c>
      <c r="E56" s="1614">
        <f>SUM(E57:E59)</f>
        <v>5.9099645161290324</v>
      </c>
      <c r="F56" s="1"/>
    </row>
    <row r="57" spans="1:6" ht="15.6">
      <c r="A57" s="1"/>
      <c r="B57" s="1620"/>
      <c r="C57" s="1622" t="s">
        <v>1454</v>
      </c>
      <c r="D57" s="1623">
        <f>E57/_xlfn.XLOOKUP(C57,C$4:C$7,E$4:E$7,"ERROR")*_xlfn.XLOOKUP(C57,C$4:C$7,D$4:D$7,"ERROR")</f>
        <v>5.907</v>
      </c>
      <c r="E57" s="1623">
        <f>Transportation!E97</f>
        <v>5.907</v>
      </c>
      <c r="F57" s="1"/>
    </row>
    <row r="58" spans="1:6" ht="15.6">
      <c r="A58" s="1"/>
      <c r="B58" s="1620"/>
      <c r="C58" s="1622" t="s">
        <v>1455</v>
      </c>
      <c r="D58" s="1623">
        <f t="shared" ref="D58:D59" si="19">E58/_xlfn.XLOOKUP(C58,C$4:C$7,E$4:E$7,"ERROR")*_xlfn.XLOOKUP(C58,C$4:C$7,D$4:D$7,"ERROR")</f>
        <v>1.1999999999999999E-3</v>
      </c>
      <c r="E58" s="1623">
        <f>Transportation!G97*($E$5/21)</f>
        <v>3.9999999999999996E-4</v>
      </c>
      <c r="F58" s="1"/>
    </row>
    <row r="59" spans="1:6" ht="15.6">
      <c r="A59" s="1"/>
      <c r="B59" s="1620"/>
      <c r="C59" s="1622" t="s">
        <v>1456</v>
      </c>
      <c r="D59" s="1623">
        <f t="shared" si="19"/>
        <v>2.5548387096774195E-3</v>
      </c>
      <c r="E59" s="1623">
        <f>Transportation!I97*($E$6/310)</f>
        <v>2.5645161290322582E-3</v>
      </c>
      <c r="F59" s="1"/>
    </row>
    <row r="60" spans="1:6" ht="14.4">
      <c r="A60" s="1"/>
      <c r="B60" s="1620"/>
      <c r="C60" s="1625" t="s">
        <v>19</v>
      </c>
      <c r="D60" s="1614">
        <f>SUM(D61:D63)</f>
        <v>1.514865871891858</v>
      </c>
      <c r="E60" s="1614">
        <f>SUM(E61:E63)</f>
        <v>1.5036462706718854</v>
      </c>
      <c r="F60" s="1"/>
    </row>
    <row r="61" spans="1:6" ht="15.6">
      <c r="A61" s="1"/>
      <c r="B61" s="1620"/>
      <c r="C61" s="1622" t="s">
        <v>1454</v>
      </c>
      <c r="D61" s="1623">
        <f>E61/_xlfn.XLOOKUP(C61,C$4:C$7,E$4:E$7,"ERROR")*_xlfn.XLOOKUP(C61,C$4:C$7,D$4:D$7,"ERROR")</f>
        <v>1.4880829330956415</v>
      </c>
      <c r="E61" s="1623">
        <f>SUM(Transportation!O56:O58)</f>
        <v>1.4880829330956415</v>
      </c>
      <c r="F61" s="1"/>
    </row>
    <row r="62" spans="1:6" ht="15.6">
      <c r="A62" s="1"/>
      <c r="B62" s="1620"/>
      <c r="C62" s="1622" t="s">
        <v>1455</v>
      </c>
      <c r="D62" s="1623">
        <f t="shared" ref="D62:D63" si="20">E62/_xlfn.XLOOKUP(C62,C$4:C$7,E$4:E$7,"ERROR")*_xlfn.XLOOKUP(C62,C$4:C$7,D$4:D$7,"ERROR")</f>
        <v>1.6885636502084626E-2</v>
      </c>
      <c r="E62" s="1623">
        <f>SUM(Transportation!AE56:AE58)/1000000</f>
        <v>5.6285455006948757E-3</v>
      </c>
      <c r="F62" s="1"/>
    </row>
    <row r="63" spans="1:6" ht="15.6">
      <c r="A63" s="1"/>
      <c r="B63" s="1620"/>
      <c r="C63" s="1622" t="s">
        <v>1456</v>
      </c>
      <c r="D63" s="1623">
        <f t="shared" si="20"/>
        <v>9.8973022941318614E-3</v>
      </c>
      <c r="E63" s="1623">
        <f>SUM(Transportation!X56:X58)/1000000</f>
        <v>9.9347920755490284E-3</v>
      </c>
      <c r="F63" s="1"/>
    </row>
    <row r="64" spans="1:6" ht="14.4">
      <c r="A64" s="1"/>
      <c r="B64" s="1620"/>
      <c r="C64" s="1625" t="s">
        <v>20</v>
      </c>
      <c r="D64" s="1614">
        <f>SUM(D65:D67)</f>
        <v>0.23973891881071546</v>
      </c>
      <c r="E64" s="1614">
        <f>SUM(E65:E67)</f>
        <v>0.23870174671458705</v>
      </c>
      <c r="F64" s="1"/>
    </row>
    <row r="65" spans="1:6" ht="15.6">
      <c r="A65" s="1"/>
      <c r="B65" s="1620"/>
      <c r="C65" s="1622" t="s">
        <v>1454</v>
      </c>
      <c r="D65" s="1623">
        <f>E65/_xlfn.XLOOKUP(C65,C$4:C$7,E$4:E$7,"ERROR")*_xlfn.XLOOKUP(C65,C$4:C$7,D$4:D$7,"ERROR")</f>
        <v>0.23660057910605095</v>
      </c>
      <c r="E65" s="1623">
        <f>Transportation!O59</f>
        <v>0.23660057910605095</v>
      </c>
      <c r="F65" s="1"/>
    </row>
    <row r="66" spans="1:6" ht="15.6">
      <c r="A66" s="1"/>
      <c r="B66" s="1620"/>
      <c r="C66" s="1622" t="s">
        <v>1455</v>
      </c>
      <c r="D66" s="1623">
        <f t="shared" ref="D66:D67" si="21">E66/_xlfn.XLOOKUP(C66,C$4:C$7,E$4:E$7,"ERROR")*_xlfn.XLOOKUP(C66,C$4:C$7,D$4:D$7,"ERROR")</f>
        <v>1.5646992829523999E-3</v>
      </c>
      <c r="E66" s="1623">
        <f>Transportation!AE59/1000000</f>
        <v>5.2156642765079997E-4</v>
      </c>
      <c r="F66" s="1"/>
    </row>
    <row r="67" spans="1:6" ht="15.6">
      <c r="A67" s="1"/>
      <c r="B67" s="1620"/>
      <c r="C67" s="1622" t="s">
        <v>1456</v>
      </c>
      <c r="D67" s="1623">
        <f t="shared" si="21"/>
        <v>1.573640421712128E-3</v>
      </c>
      <c r="E67" s="1623">
        <f>Transportation!X59/1000000</f>
        <v>1.57960118088528E-3</v>
      </c>
      <c r="F67" s="1"/>
    </row>
    <row r="68" spans="1:6" ht="14.4">
      <c r="A68" s="1"/>
      <c r="B68" s="1620"/>
      <c r="C68" s="1625" t="s">
        <v>21</v>
      </c>
      <c r="D68" s="1614">
        <f>SUM(D69:D71)</f>
        <v>1.0009335125996075</v>
      </c>
      <c r="E68" s="1614">
        <f>SUM(E69:E71)</f>
        <v>0.99702914091470674</v>
      </c>
      <c r="F68" s="1"/>
    </row>
    <row r="69" spans="1:6" ht="15.6">
      <c r="A69" s="1"/>
      <c r="B69" s="1620"/>
      <c r="C69" s="1622" t="s">
        <v>1454</v>
      </c>
      <c r="D69" s="1623">
        <f>E69/_xlfn.XLOOKUP(C69,C$4:C$7,E$4:E$7,"ERROR")*_xlfn.XLOOKUP(C69,C$4:C$7,D$4:D$7,"ERROR")</f>
        <v>0.98859813830762433</v>
      </c>
      <c r="E69" s="1623">
        <f>Transportation!O60+Transportation!O68+Transportation!O69</f>
        <v>0.98859813830762433</v>
      </c>
      <c r="F69" s="1"/>
    </row>
    <row r="70" spans="1:6" ht="15.6">
      <c r="A70" s="1"/>
      <c r="B70" s="1620"/>
      <c r="C70" s="1622" t="s">
        <v>1455</v>
      </c>
      <c r="D70" s="1623">
        <f t="shared" ref="D70:D71" si="22">E70/_xlfn.XLOOKUP(C70,C$4:C$7,E$4:E$7,"ERROR")*_xlfn.XLOOKUP(C70,C$4:C$7,D$4:D$7,"ERROR")</f>
        <v>5.8931610118970077E-3</v>
      </c>
      <c r="E70" s="1623">
        <f>(Transportation!AE60+Transportation!AE68+Transportation!AE69)/1000000</f>
        <v>1.9643870039656691E-3</v>
      </c>
      <c r="F70" s="1"/>
    </row>
    <row r="71" spans="1:6" ht="15.6">
      <c r="A71" s="1"/>
      <c r="B71" s="1620"/>
      <c r="C71" s="1622" t="s">
        <v>1456</v>
      </c>
      <c r="D71" s="1623">
        <f t="shared" si="22"/>
        <v>6.44221328008617E-3</v>
      </c>
      <c r="E71" s="1623">
        <f>(Transportation!X60+Transportation!X68+Transportation!X69)/1000000</f>
        <v>6.4666156031167989E-3</v>
      </c>
      <c r="F71" s="1"/>
    </row>
    <row r="72" spans="1:6" ht="14.4">
      <c r="A72" s="1"/>
      <c r="B72" s="1620"/>
      <c r="C72" s="1625" t="s">
        <v>22</v>
      </c>
      <c r="D72" s="1614">
        <f>SUM(D73:D75)</f>
        <v>0.29595514575746695</v>
      </c>
      <c r="E72" s="1614">
        <f>SUM(E73:E75)</f>
        <v>0.29595514575746695</v>
      </c>
      <c r="F72" s="1"/>
    </row>
    <row r="73" spans="1:6" ht="15.6">
      <c r="A73" s="1"/>
      <c r="B73" s="1620"/>
      <c r="C73" s="1622" t="s">
        <v>1454</v>
      </c>
      <c r="D73" s="1623">
        <f>E73/_xlfn.XLOOKUP(C73,C$4:C$7,E$4:E$7,"ERROR")*_xlfn.XLOOKUP(C73,C$4:C$7,D$4:D$7,"ERROR")</f>
        <v>0.29595514575746695</v>
      </c>
      <c r="E73" s="1623">
        <f>Transportation!O63+Transportation!O70+Transportation!S79</f>
        <v>0.29595514575746695</v>
      </c>
      <c r="F73" s="1"/>
    </row>
    <row r="74" spans="1:6" ht="15.6">
      <c r="A74" s="1"/>
      <c r="B74" s="1620"/>
      <c r="C74" s="1622" t="s">
        <v>1455</v>
      </c>
      <c r="D74" s="1623">
        <f t="shared" ref="D74:D75" si="23">E74/_xlfn.XLOOKUP(C74,C$4:C$7,E$4:E$7,"ERROR")*_xlfn.XLOOKUP(C74,C$4:C$7,D$4:D$7,"ERROR")</f>
        <v>0</v>
      </c>
      <c r="E74" s="1623">
        <v>0</v>
      </c>
      <c r="F74" s="1"/>
    </row>
    <row r="75" spans="1:6" ht="15.6">
      <c r="A75" s="1"/>
      <c r="B75" s="1620"/>
      <c r="C75" s="1622" t="s">
        <v>1456</v>
      </c>
      <c r="D75" s="1623">
        <f t="shared" si="23"/>
        <v>0</v>
      </c>
      <c r="E75" s="1623">
        <v>0</v>
      </c>
      <c r="F75" s="1"/>
    </row>
    <row r="76" spans="1:6" ht="14.4">
      <c r="A76" s="1"/>
      <c r="B76" s="1620"/>
      <c r="C76" s="1625" t="s">
        <v>23</v>
      </c>
      <c r="D76" s="1614">
        <f>SUM(D77:D79)</f>
        <v>1.7237712721948761</v>
      </c>
      <c r="E76" s="1614">
        <f>SUM(E77:E79)</f>
        <v>1.7194879477832066</v>
      </c>
      <c r="F76" s="1"/>
    </row>
    <row r="77" spans="1:6" ht="15.6">
      <c r="A77" s="1"/>
      <c r="B77" s="1620"/>
      <c r="C77" s="1622" t="s">
        <v>1454</v>
      </c>
      <c r="D77" s="1623">
        <f>E77/_xlfn.XLOOKUP(C77,C$4:C$7,E$4:E$7,"ERROR")*_xlfn.XLOOKUP(C77,C$4:C$7,D$4:D$7,"ERROR")</f>
        <v>1.7033436072509349</v>
      </c>
      <c r="E77" s="1623">
        <f>Transportation!O55+Transportation!O61+Transportation!O62</f>
        <v>1.7033436072509349</v>
      </c>
      <c r="F77" s="1"/>
    </row>
    <row r="78" spans="1:6" ht="15.6">
      <c r="A78" s="1"/>
      <c r="B78" s="1620"/>
      <c r="C78" s="1622" t="s">
        <v>1455</v>
      </c>
      <c r="D78" s="1623">
        <f t="shared" ref="D78:D79" si="24">E78/_xlfn.XLOOKUP(C78,C$4:C$7,E$4:E$7,"ERROR")*_xlfn.XLOOKUP(C78,C$4:C$7,D$4:D$7,"ERROR")</f>
        <v>6.5040977944895891E-3</v>
      </c>
      <c r="E78" s="1623">
        <f>(Transportation!AE55+Transportation!AE61+Transportation!AE62)/1000000</f>
        <v>2.1680325981631964E-3</v>
      </c>
      <c r="F78" s="1"/>
    </row>
    <row r="79" spans="1:6" ht="15.6">
      <c r="A79" s="1"/>
      <c r="B79" s="1624"/>
      <c r="C79" s="1622" t="s">
        <v>1456</v>
      </c>
      <c r="D79" s="1623">
        <f t="shared" si="24"/>
        <v>1.3923567149451432E-2</v>
      </c>
      <c r="E79" s="1623">
        <f>(Transportation!X55+Transportation!X61+Transportation!X62)/1000000</f>
        <v>1.3976307934108444E-2</v>
      </c>
      <c r="F79" s="1"/>
    </row>
    <row r="80" spans="1:6" ht="14.4">
      <c r="A80" s="1"/>
      <c r="B80" s="1615" t="s">
        <v>24</v>
      </c>
      <c r="C80" s="1616"/>
      <c r="D80" s="1617">
        <f t="shared" ref="D80" si="25">D81+D85+D89</f>
        <v>3.8834947537560187</v>
      </c>
      <c r="E80" s="1617">
        <f t="shared" ref="E80" si="26">E81+E85+E89</f>
        <v>1.3723361412599022</v>
      </c>
      <c r="F80" s="1"/>
    </row>
    <row r="81" spans="1:6" ht="14.4">
      <c r="A81" s="1"/>
      <c r="B81" s="1618"/>
      <c r="C81" s="1625" t="s">
        <v>1459</v>
      </c>
      <c r="D81" s="1614">
        <f>SUM(D82:D84)</f>
        <v>3.3621016661112186</v>
      </c>
      <c r="E81" s="1614">
        <f>SUM(E82:E84)</f>
        <v>1.1985384453783023</v>
      </c>
      <c r="F81" s="1"/>
    </row>
    <row r="82" spans="1:6" ht="15.6">
      <c r="A82" s="1"/>
      <c r="B82" s="1620"/>
      <c r="C82" s="1622" t="s">
        <v>1454</v>
      </c>
      <c r="D82" s="1623">
        <f>E82/_xlfn.XLOOKUP(C82,C$4:C$7,E$4:E$7,"ERROR")*_xlfn.XLOOKUP(C82,C$4:C$7,D$4:D$7,"ERROR")</f>
        <v>0.11669565290015972</v>
      </c>
      <c r="E82" s="1623">
        <f>'Natural Gas and Oil'!H70</f>
        <v>0.11669565290015972</v>
      </c>
      <c r="F82" s="1"/>
    </row>
    <row r="83" spans="1:6" ht="15.6">
      <c r="A83" s="1"/>
      <c r="B83" s="1620"/>
      <c r="C83" s="1622" t="s">
        <v>1455</v>
      </c>
      <c r="D83" s="1623">
        <f t="shared" ref="D83:D84" si="27">E83/_xlfn.XLOOKUP(C83,C$4:C$7,E$4:E$7,"ERROR")*_xlfn.XLOOKUP(C83,C$4:C$7,D$4:D$7,"ERROR")</f>
        <v>3.2453451767610222</v>
      </c>
      <c r="E83" s="1623">
        <f>'Natural Gas and Oil'!J70+'Natural Gas and Oil'!F51+'Natural Gas and Oil'!F34+'Natural Gas and Oil'!F10</f>
        <v>1.0817817255870072</v>
      </c>
      <c r="F83" s="1"/>
    </row>
    <row r="84" spans="1:6" ht="15.6">
      <c r="A84" s="1"/>
      <c r="B84" s="1620"/>
      <c r="C84" s="1622" t="s">
        <v>1456</v>
      </c>
      <c r="D84" s="1623">
        <f t="shared" si="27"/>
        <v>6.0836450036837167E-5</v>
      </c>
      <c r="E84" s="1623">
        <f>'Natural Gas and Oil'!I70</f>
        <v>6.1066891135461553E-5</v>
      </c>
      <c r="F84" s="1"/>
    </row>
    <row r="85" spans="1:6" ht="14.4">
      <c r="A85" s="1"/>
      <c r="B85" s="1620"/>
      <c r="C85" s="1625" t="s">
        <v>1460</v>
      </c>
      <c r="D85" s="1614">
        <f>SUM(D86:D88)</f>
        <v>0</v>
      </c>
      <c r="E85" s="1614">
        <f>SUM(E86:E88)</f>
        <v>0</v>
      </c>
      <c r="F85" s="1"/>
    </row>
    <row r="86" spans="1:6" ht="15.6">
      <c r="A86" s="1"/>
      <c r="B86" s="1620"/>
      <c r="C86" s="1622" t="s">
        <v>1454</v>
      </c>
      <c r="D86" s="1623">
        <f>E86/_xlfn.XLOOKUP(C86,C$4:C$7,E$4:E$7,"ERROR")*_xlfn.XLOOKUP(C86,C$4:C$7,D$4:D$7,"ERROR")</f>
        <v>0</v>
      </c>
      <c r="E86" s="1623">
        <v>0</v>
      </c>
      <c r="F86" s="1"/>
    </row>
    <row r="87" spans="1:6" ht="15.6">
      <c r="A87" s="1"/>
      <c r="B87" s="1620"/>
      <c r="C87" s="1622" t="s">
        <v>1455</v>
      </c>
      <c r="D87" s="1623">
        <f t="shared" ref="D87:D88" si="28">E87/_xlfn.XLOOKUP(C87,C$4:C$7,E$4:E$7,"ERROR")*_xlfn.XLOOKUP(C87,C$4:C$7,D$4:D$7,"ERROR")</f>
        <v>0</v>
      </c>
      <c r="E87" s="1623">
        <v>0</v>
      </c>
      <c r="F87" s="1"/>
    </row>
    <row r="88" spans="1:6" ht="15.6">
      <c r="A88" s="1"/>
      <c r="B88" s="1620"/>
      <c r="C88" s="1622" t="s">
        <v>1456</v>
      </c>
      <c r="D88" s="1623">
        <f t="shared" si="28"/>
        <v>0</v>
      </c>
      <c r="E88" s="1623">
        <v>0</v>
      </c>
      <c r="F88" s="1"/>
    </row>
    <row r="89" spans="1:6" ht="14.4">
      <c r="A89" s="1"/>
      <c r="B89" s="1620"/>
      <c r="C89" s="1625" t="s">
        <v>1133</v>
      </c>
      <c r="D89" s="1614">
        <f>SUM(D90:D92)</f>
        <v>0.52139308764479997</v>
      </c>
      <c r="E89" s="1614">
        <f>SUM(E90:E92)</f>
        <v>0.17379769588159999</v>
      </c>
      <c r="F89" s="1"/>
    </row>
    <row r="90" spans="1:6" ht="15.6">
      <c r="A90" s="1"/>
      <c r="B90" s="1620"/>
      <c r="C90" s="1622" t="s">
        <v>1454</v>
      </c>
      <c r="D90" s="1623">
        <f>E90/_xlfn.XLOOKUP(C90,C$4:C$7,E$4:E$7,"ERROR")*_xlfn.XLOOKUP(C90,C$4:C$7,D$4:D$7,"ERROR")</f>
        <v>0</v>
      </c>
      <c r="E90" s="1623">
        <v>0</v>
      </c>
      <c r="F90" s="1"/>
    </row>
    <row r="91" spans="1:6" ht="15.6">
      <c r="A91" s="1"/>
      <c r="B91" s="1620"/>
      <c r="C91" s="1622" t="s">
        <v>1455</v>
      </c>
      <c r="D91" s="1623">
        <f t="shared" ref="D91:D92" si="29">E91/_xlfn.XLOOKUP(C91,C$4:C$7,E$4:E$7,"ERROR")*_xlfn.XLOOKUP(C91,C$4:C$7,D$4:D$7,"ERROR")</f>
        <v>0.52139308764479997</v>
      </c>
      <c r="E91" s="1623">
        <f>Mining!C35+Mining!C36</f>
        <v>0.17379769588159999</v>
      </c>
      <c r="F91" s="1"/>
    </row>
    <row r="92" spans="1:6" ht="15.6">
      <c r="A92" s="1"/>
      <c r="B92" s="1624"/>
      <c r="C92" s="1622" t="s">
        <v>1456</v>
      </c>
      <c r="D92" s="1623">
        <f t="shared" si="29"/>
        <v>0</v>
      </c>
      <c r="E92" s="1623">
        <v>0</v>
      </c>
      <c r="F92" s="1"/>
    </row>
    <row r="93" spans="1:6" ht="14.4">
      <c r="A93" s="1"/>
      <c r="B93" s="1615" t="s">
        <v>25</v>
      </c>
      <c r="C93" s="1626"/>
      <c r="D93" s="1627">
        <f t="shared" ref="D93" si="30">D94+D98+D102+D106+D110+D114+D118+D122+D126</f>
        <v>9.4228803702388007</v>
      </c>
      <c r="E93" s="1627">
        <f t="shared" ref="E93" si="31">E94+E98+E102+E106+E110+E114+E118+E122+E126</f>
        <v>7.153964717967348</v>
      </c>
      <c r="F93" s="1"/>
    </row>
    <row r="94" spans="1:6" ht="14.4">
      <c r="A94" s="1"/>
      <c r="B94" s="1618"/>
      <c r="C94" s="1625" t="s">
        <v>100</v>
      </c>
      <c r="D94" s="1614">
        <f>SUM(D95:D97)</f>
        <v>1.4832417277099998</v>
      </c>
      <c r="E94" s="1614">
        <f>SUM(E95:E97)</f>
        <v>1.4832417277099998</v>
      </c>
      <c r="F94" s="1"/>
    </row>
    <row r="95" spans="1:6" ht="15.6">
      <c r="A95" s="1"/>
      <c r="B95" s="1620"/>
      <c r="C95" s="1622" t="s">
        <v>1454</v>
      </c>
      <c r="D95" s="1623">
        <f>E95/_xlfn.XLOOKUP(C95,C$4:C$7,E$4:E$7,"ERROR")*_xlfn.XLOOKUP(C95,C$4:C$7,D$4:D$7,"ERROR")</f>
        <v>1.4832417277099998</v>
      </c>
      <c r="E95" s="1623">
        <f>Cement!G48</f>
        <v>1.4832417277099998</v>
      </c>
      <c r="F95" s="1"/>
    </row>
    <row r="96" spans="1:6" ht="15.6">
      <c r="A96" s="1"/>
      <c r="B96" s="1620"/>
      <c r="C96" s="1622" t="s">
        <v>1455</v>
      </c>
      <c r="D96" s="1623">
        <f t="shared" ref="D96:D97" si="32">E96/_xlfn.XLOOKUP(C96,C$4:C$7,E$4:E$7,"ERROR")*_xlfn.XLOOKUP(C96,C$4:C$7,D$4:D$7,"ERROR")</f>
        <v>0</v>
      </c>
      <c r="E96" s="1623">
        <v>0</v>
      </c>
      <c r="F96" s="1"/>
    </row>
    <row r="97" spans="1:6" ht="15.6">
      <c r="A97" s="1"/>
      <c r="B97" s="1620"/>
      <c r="C97" s="1622" t="s">
        <v>1456</v>
      </c>
      <c r="D97" s="1623">
        <f t="shared" si="32"/>
        <v>0</v>
      </c>
      <c r="E97" s="1623">
        <v>0</v>
      </c>
      <c r="F97" s="1"/>
    </row>
    <row r="98" spans="1:6" ht="14.4">
      <c r="A98" s="1"/>
      <c r="B98" s="1620"/>
      <c r="C98" s="1625" t="s">
        <v>1461</v>
      </c>
      <c r="D98" s="1614">
        <f>SUM(D99:D101)</f>
        <v>0.11394119158533558</v>
      </c>
      <c r="E98" s="1614">
        <f>SUM(E99:E101)</f>
        <v>0.11394119158533558</v>
      </c>
      <c r="F98" s="1"/>
    </row>
    <row r="99" spans="1:6" ht="15.6">
      <c r="A99" s="1"/>
      <c r="B99" s="1620"/>
      <c r="C99" s="1622" t="s">
        <v>1454</v>
      </c>
      <c r="D99" s="1623">
        <f>E99/_xlfn.XLOOKUP(C99,C$4:C$7,E$4:E$7,"ERROR")*_xlfn.XLOOKUP(C99,C$4:C$7,D$4:D$7,"ERROR")</f>
        <v>0.11394119158533558</v>
      </c>
      <c r="E99" s="1623">
        <f>'LimeT&amp;DSodaODS'!D43/1000000</f>
        <v>0.11394119158533558</v>
      </c>
      <c r="F99" s="1"/>
    </row>
    <row r="100" spans="1:6" ht="15.6">
      <c r="A100" s="1"/>
      <c r="B100" s="1620"/>
      <c r="C100" s="1622" t="s">
        <v>1455</v>
      </c>
      <c r="D100" s="1623">
        <f t="shared" ref="D100:D101" si="33">E100/_xlfn.XLOOKUP(C100,C$4:C$7,E$4:E$7,"ERROR")*_xlfn.XLOOKUP(C100,C$4:C$7,D$4:D$7,"ERROR")</f>
        <v>0</v>
      </c>
      <c r="E100" s="1623">
        <v>0</v>
      </c>
      <c r="F100" s="1"/>
    </row>
    <row r="101" spans="1:6" ht="15.6">
      <c r="A101" s="1"/>
      <c r="B101" s="1620"/>
      <c r="C101" s="1622" t="s">
        <v>1456</v>
      </c>
      <c r="D101" s="1623">
        <f t="shared" si="33"/>
        <v>0</v>
      </c>
      <c r="E101" s="1623">
        <v>0</v>
      </c>
      <c r="F101" s="1"/>
    </row>
    <row r="102" spans="1:6" ht="14.4">
      <c r="A102" s="1"/>
      <c r="B102" s="1620"/>
      <c r="C102" s="1625" t="s">
        <v>1462</v>
      </c>
      <c r="D102" s="1614">
        <f>SUM(D103:D105)</f>
        <v>4.7611020076877966E-2</v>
      </c>
      <c r="E102" s="1614">
        <f>SUM(E103:E105)</f>
        <v>4.7611020076877966E-2</v>
      </c>
      <c r="F102" s="1"/>
    </row>
    <row r="103" spans="1:6" ht="15.6">
      <c r="A103" s="1"/>
      <c r="B103" s="1620"/>
      <c r="C103" s="1622" t="s">
        <v>1454</v>
      </c>
      <c r="D103" s="1623">
        <f>E103/_xlfn.XLOOKUP(C103,C$4:C$7,E$4:E$7,"ERROR")*_xlfn.XLOOKUP(C103,C$4:C$7,D$4:D$7,"ERROR")</f>
        <v>4.7611020076877966E-2</v>
      </c>
      <c r="E103" s="1623">
        <f>'LimeT&amp;DSodaODS'!D44/1000000</f>
        <v>4.7611020076877966E-2</v>
      </c>
      <c r="F103" s="1"/>
    </row>
    <row r="104" spans="1:6" ht="15.6">
      <c r="A104" s="1"/>
      <c r="B104" s="1620"/>
      <c r="C104" s="1622" t="s">
        <v>1455</v>
      </c>
      <c r="D104" s="1623">
        <f t="shared" ref="D104:D105" si="34">E104/_xlfn.XLOOKUP(C104,C$4:C$7,E$4:E$7,"ERROR")*_xlfn.XLOOKUP(C104,C$4:C$7,D$4:D$7,"ERROR")</f>
        <v>0</v>
      </c>
      <c r="E104" s="1623">
        <v>0</v>
      </c>
      <c r="F104" s="1"/>
    </row>
    <row r="105" spans="1:6" ht="15.6">
      <c r="A105" s="1"/>
      <c r="B105" s="1620"/>
      <c r="C105" s="1622" t="s">
        <v>1456</v>
      </c>
      <c r="D105" s="1623">
        <f t="shared" si="34"/>
        <v>0</v>
      </c>
      <c r="E105" s="1623">
        <v>0</v>
      </c>
      <c r="F105" s="1"/>
    </row>
    <row r="106" spans="1:6" ht="14.4">
      <c r="A106" s="1"/>
      <c r="B106" s="1620"/>
      <c r="C106" s="1625" t="s">
        <v>1463</v>
      </c>
      <c r="D106" s="1614">
        <f>SUM(D107:D109)</f>
        <v>3.5971163869434326</v>
      </c>
      <c r="E106" s="1614">
        <f>SUM(E107:E109)</f>
        <v>3.5971163869434326</v>
      </c>
      <c r="F106" s="1"/>
    </row>
    <row r="107" spans="1:6" ht="15.6">
      <c r="A107" s="1"/>
      <c r="B107" s="1620"/>
      <c r="C107" s="1622" t="s">
        <v>1454</v>
      </c>
      <c r="D107" s="1623">
        <f>E107/_xlfn.XLOOKUP(C107,C$4:C$7,E$4:E$7,"ERROR")*_xlfn.XLOOKUP(C107,C$4:C$7,D$4:D$7,"ERROR")</f>
        <v>3.5971163869434326</v>
      </c>
      <c r="E107" s="1623">
        <f>'Iron And Steel'!M15</f>
        <v>3.5971163869434326</v>
      </c>
      <c r="F107" s="1"/>
    </row>
    <row r="108" spans="1:6" ht="15.6">
      <c r="A108" s="1"/>
      <c r="B108" s="1620"/>
      <c r="C108" s="1622" t="s">
        <v>1455</v>
      </c>
      <c r="D108" s="1623">
        <f t="shared" ref="D108:D109" si="35">E108/_xlfn.XLOOKUP(C108,C$4:C$7,E$4:E$7,"ERROR")*_xlfn.XLOOKUP(C108,C$4:C$7,D$4:D$7,"ERROR")</f>
        <v>0</v>
      </c>
      <c r="E108" s="1623">
        <v>0</v>
      </c>
      <c r="F108" s="1"/>
    </row>
    <row r="109" spans="1:6" ht="15.6">
      <c r="A109" s="1"/>
      <c r="B109" s="1620"/>
      <c r="C109" s="1622" t="s">
        <v>1456</v>
      </c>
      <c r="D109" s="1623">
        <f t="shared" si="35"/>
        <v>0</v>
      </c>
      <c r="E109" s="1623">
        <v>0</v>
      </c>
      <c r="F109" s="1"/>
    </row>
    <row r="110" spans="1:6" ht="14.4">
      <c r="A110" s="1"/>
      <c r="B110" s="1620"/>
      <c r="C110" s="1625" t="s">
        <v>109</v>
      </c>
      <c r="D110" s="1614">
        <f>SUM(D111:D113)</f>
        <v>4.0139666930000004</v>
      </c>
      <c r="E110" s="1614">
        <f>SUM(E111:E113)</f>
        <v>1.6880077138281457</v>
      </c>
      <c r="F110" s="1"/>
    </row>
    <row r="111" spans="1:6" ht="15.6">
      <c r="A111" s="1"/>
      <c r="B111" s="1620"/>
      <c r="C111" s="1622" t="s">
        <v>1454</v>
      </c>
      <c r="D111" s="1623">
        <f>E111/_xlfn.XLOOKUP(C111,C$4:C$7,E$4:E$7,"ERROR")*_xlfn.XLOOKUP(C111,C$4:C$7,D$4:D$7,"ERROR")</f>
        <v>0</v>
      </c>
      <c r="E111" s="1623">
        <v>0</v>
      </c>
      <c r="F111" s="1"/>
    </row>
    <row r="112" spans="1:6" ht="15.6">
      <c r="A112" s="1"/>
      <c r="B112" s="1620"/>
      <c r="C112" s="1622" t="s">
        <v>1455</v>
      </c>
      <c r="D112" s="1623">
        <f t="shared" ref="D112" si="36">E112/_xlfn.XLOOKUP(C112,C$4:C$7,E$4:E$7,"ERROR")*_xlfn.XLOOKUP(C112,C$4:C$7,D$4:D$7,"ERROR")</f>
        <v>0</v>
      </c>
      <c r="E112" s="1623">
        <v>0</v>
      </c>
      <c r="F112" s="1"/>
    </row>
    <row r="113" spans="1:6" ht="15.6">
      <c r="A113" s="1"/>
      <c r="B113" s="1620"/>
      <c r="C113" s="1622" t="s">
        <v>1464</v>
      </c>
      <c r="D113" s="1623">
        <f>'LimeT&amp;DSodaODS'!T18</f>
        <v>4.0139666930000004</v>
      </c>
      <c r="E113" s="1623">
        <f>'LimeT&amp;DSodaODS'!D51/1000000</f>
        <v>1.6880077138281457</v>
      </c>
      <c r="F113" s="1"/>
    </row>
    <row r="114" spans="1:6" ht="14.4">
      <c r="A114" s="1"/>
      <c r="B114" s="1620"/>
      <c r="C114" s="1625" t="s">
        <v>1465</v>
      </c>
      <c r="D114" s="1614">
        <f>SUM(D115:D117)</f>
        <v>0.16637637012617376</v>
      </c>
      <c r="E114" s="1614">
        <f>SUM(E115:E117)</f>
        <v>0.22341969702657621</v>
      </c>
      <c r="F114" s="1"/>
    </row>
    <row r="115" spans="1:6" ht="15.6">
      <c r="A115" s="1"/>
      <c r="B115" s="1620"/>
      <c r="C115" s="1622" t="s">
        <v>1454</v>
      </c>
      <c r="D115" s="1623">
        <f>E115/_xlfn.XLOOKUP(C115,C$4:C$7,E$4:E$7,"ERROR")*_xlfn.XLOOKUP(C115,C$4:C$7,D$4:D$7,"ERROR")</f>
        <v>0</v>
      </c>
      <c r="E115" s="1623">
        <v>0</v>
      </c>
      <c r="F115" s="1"/>
    </row>
    <row r="116" spans="1:6" ht="15.6">
      <c r="A116" s="1"/>
      <c r="B116" s="1620"/>
      <c r="C116" s="1622" t="s">
        <v>1455</v>
      </c>
      <c r="D116" s="1623">
        <f t="shared" ref="D116" si="37">E116/_xlfn.XLOOKUP(C116,C$4:C$7,E$4:E$7,"ERROR")*_xlfn.XLOOKUP(C116,C$4:C$7,D$4:D$7,"ERROR")</f>
        <v>0</v>
      </c>
      <c r="E116" s="1623">
        <v>0</v>
      </c>
      <c r="F116" s="1"/>
    </row>
    <row r="117" spans="1:6" ht="15.6">
      <c r="A117" s="1"/>
      <c r="B117" s="1620"/>
      <c r="C117" s="1622" t="s">
        <v>1464</v>
      </c>
      <c r="D117" s="1623">
        <f>E117/_xlfn.XLOOKUP("SF6",C$4:C$7,E$4:E$7,"ERROR")*_xlfn.XLOOKUP("SF6",C$4:C$7,D$4:D$7,"ERROR")</f>
        <v>0.16637637012617376</v>
      </c>
      <c r="E117" s="1623">
        <f>'LimeT&amp;DSodaODS'!D54/1000000</f>
        <v>0.22341969702657621</v>
      </c>
      <c r="F117" s="1"/>
    </row>
    <row r="118" spans="1:6" ht="14.4">
      <c r="A118" s="1"/>
      <c r="B118" s="1620"/>
      <c r="C118" s="1625" t="s">
        <v>110</v>
      </c>
      <c r="D118" s="1614">
        <f>SUM(D119:D121)</f>
        <v>0</v>
      </c>
      <c r="E118" s="1614">
        <f>SUM(E119:E121)</f>
        <v>0</v>
      </c>
      <c r="F118" s="1"/>
    </row>
    <row r="119" spans="1:6" ht="15.6">
      <c r="A119" s="1"/>
      <c r="B119" s="1620"/>
      <c r="C119" s="1622" t="s">
        <v>1454</v>
      </c>
      <c r="D119" s="1623">
        <f>E119/_xlfn.XLOOKUP(C119,C$4:C$7,E$4:E$7,"ERROR")*_xlfn.XLOOKUP(C119,C$4:C$7,D$4:D$7,"ERROR")</f>
        <v>0</v>
      </c>
      <c r="E119" s="1623">
        <v>0</v>
      </c>
      <c r="F119" s="1"/>
    </row>
    <row r="120" spans="1:6" ht="15.6">
      <c r="A120" s="1"/>
      <c r="B120" s="1620"/>
      <c r="C120" s="1622" t="s">
        <v>1455</v>
      </c>
      <c r="D120" s="1623">
        <f t="shared" ref="D120" si="38">E120/_xlfn.XLOOKUP(C120,C$4:C$7,E$4:E$7,"ERROR")*_xlfn.XLOOKUP(C120,C$4:C$7,D$4:D$7,"ERROR")</f>
        <v>0</v>
      </c>
      <c r="E120" s="1623">
        <v>0</v>
      </c>
      <c r="F120" s="1"/>
    </row>
    <row r="121" spans="1:6" ht="15.6">
      <c r="A121" s="1"/>
      <c r="B121" s="1620"/>
      <c r="C121" s="1622" t="s">
        <v>1464</v>
      </c>
      <c r="D121" s="1623">
        <f>E121</f>
        <v>0</v>
      </c>
      <c r="E121" s="1623">
        <v>0</v>
      </c>
      <c r="F121" s="1"/>
    </row>
    <row r="122" spans="1:6" ht="14.4">
      <c r="A122" s="1"/>
      <c r="B122" s="1620"/>
      <c r="C122" s="1625" t="s">
        <v>1466</v>
      </c>
      <c r="D122" s="1614">
        <f>SUM(D123:D125)</f>
        <v>6.2698079697975711E-4</v>
      </c>
      <c r="E122" s="1614">
        <f>SUM(E123:E125)</f>
        <v>6.2698079697975711E-4</v>
      </c>
      <c r="F122" s="1"/>
    </row>
    <row r="123" spans="1:6" ht="15.6">
      <c r="A123" s="1"/>
      <c r="B123" s="1620"/>
      <c r="C123" s="1622" t="s">
        <v>1454</v>
      </c>
      <c r="D123" s="1623">
        <f>E123/_xlfn.XLOOKUP(C123,C$4:C$7,E$4:E$7,"ERROR")*_xlfn.XLOOKUP(C123,C$4:C$7,D$4:D$7,"ERROR")</f>
        <v>6.2698079697975711E-4</v>
      </c>
      <c r="E123" s="1623">
        <f>'LimeT&amp;DSodaODS'!D45/1000000</f>
        <v>6.2698079697975711E-4</v>
      </c>
      <c r="F123" s="1"/>
    </row>
    <row r="124" spans="1:6" ht="15.6">
      <c r="A124" s="1"/>
      <c r="B124" s="1620"/>
      <c r="C124" s="1622" t="s">
        <v>1455</v>
      </c>
      <c r="D124" s="1623">
        <f t="shared" ref="D124" si="39">E124/_xlfn.XLOOKUP(C124,C$4:C$7,E$4:E$7,"ERROR")*_xlfn.XLOOKUP(C124,C$4:C$7,D$4:D$7,"ERROR")</f>
        <v>0</v>
      </c>
      <c r="E124" s="1623">
        <v>0</v>
      </c>
      <c r="F124" s="1"/>
    </row>
    <row r="125" spans="1:6" ht="15.6">
      <c r="A125" s="1"/>
      <c r="B125" s="1620"/>
      <c r="C125" s="1622" t="s">
        <v>1464</v>
      </c>
      <c r="D125" s="1623">
        <f>E125</f>
        <v>0</v>
      </c>
      <c r="E125" s="1623">
        <v>0</v>
      </c>
      <c r="F125" s="1"/>
    </row>
    <row r="126" spans="1:6" ht="14.4">
      <c r="A126" s="1"/>
      <c r="B126" s="1620"/>
      <c r="C126" s="1625" t="s">
        <v>114</v>
      </c>
      <c r="D126" s="1614">
        <f>SUM(D127:D129)</f>
        <v>0</v>
      </c>
      <c r="E126" s="1614">
        <f>SUM(E127:E129)</f>
        <v>0</v>
      </c>
      <c r="F126" s="1"/>
    </row>
    <row r="127" spans="1:6" ht="15.6">
      <c r="A127" s="1"/>
      <c r="B127" s="1620"/>
      <c r="C127" s="1622" t="s">
        <v>1454</v>
      </c>
      <c r="D127" s="1623">
        <f>E127/_xlfn.XLOOKUP(C127,C$4:C$7,E$4:E$7,"ERROR")*_xlfn.XLOOKUP(C127,C$4:C$7,D$4:D$7,"ERROR")</f>
        <v>0</v>
      </c>
      <c r="E127" s="1623">
        <v>0</v>
      </c>
      <c r="F127" s="1"/>
    </row>
    <row r="128" spans="1:6" ht="15.6">
      <c r="A128" s="1"/>
      <c r="B128" s="1620"/>
      <c r="C128" s="1622" t="s">
        <v>1455</v>
      </c>
      <c r="D128" s="1623">
        <f t="shared" ref="D128" si="40">E128/_xlfn.XLOOKUP(C128,C$4:C$7,E$4:E$7,"ERROR")*_xlfn.XLOOKUP(C128,C$4:C$7,D$4:D$7,"ERROR")</f>
        <v>0</v>
      </c>
      <c r="E128" s="1623">
        <v>0</v>
      </c>
      <c r="F128" s="1"/>
    </row>
    <row r="129" spans="1:6" ht="15.6">
      <c r="A129" s="1"/>
      <c r="B129" s="1624"/>
      <c r="C129" s="1622" t="s">
        <v>1464</v>
      </c>
      <c r="D129" s="1623">
        <f>E129</f>
        <v>0</v>
      </c>
      <c r="E129" s="1623">
        <v>0</v>
      </c>
      <c r="F129" s="1"/>
    </row>
    <row r="130" spans="1:6" ht="14.4">
      <c r="A130" s="1"/>
      <c r="B130" s="1615" t="s">
        <v>26</v>
      </c>
      <c r="C130" s="1626"/>
      <c r="D130" s="1617">
        <f t="shared" ref="D130" si="41">D131+D135+D139+D143+D147</f>
        <v>3.2459908715953163</v>
      </c>
      <c r="E130" s="1617">
        <f t="shared" ref="E130" si="42">E131+E135+E139+E143+E147</f>
        <v>1.8784163339720656</v>
      </c>
      <c r="F130" s="1"/>
    </row>
    <row r="131" spans="1:6" ht="14.4">
      <c r="A131" s="1"/>
      <c r="B131" s="1618"/>
      <c r="C131" s="1625" t="s">
        <v>27</v>
      </c>
      <c r="D131" s="1614">
        <f>SUM(D132:D134)</f>
        <v>1.6762717180834119</v>
      </c>
      <c r="E131" s="1614">
        <f>SUM(E132:E134)</f>
        <v>0.5587572393611373</v>
      </c>
      <c r="F131" s="1"/>
    </row>
    <row r="132" spans="1:6" ht="15.6">
      <c r="A132" s="1"/>
      <c r="B132" s="1620"/>
      <c r="C132" s="1622" t="s">
        <v>1454</v>
      </c>
      <c r="D132" s="1623">
        <f>E132/_xlfn.XLOOKUP(C132,C$4:C$7,E$4:E$7,"ERROR")*_xlfn.XLOOKUP(C132,C$4:C$7,D$4:D$7,"ERROR")</f>
        <v>0</v>
      </c>
      <c r="E132" s="1623">
        <v>0</v>
      </c>
      <c r="F132" s="1"/>
    </row>
    <row r="133" spans="1:6" ht="15.6">
      <c r="A133" s="1"/>
      <c r="B133" s="1620"/>
      <c r="C133" s="1622" t="s">
        <v>1455</v>
      </c>
      <c r="D133" s="1623">
        <f t="shared" ref="D133:D134" si="43">E133/_xlfn.XLOOKUP(C133,C$4:C$7,E$4:E$7,"ERROR")*_xlfn.XLOOKUP(C133,C$4:C$7,D$4:D$7,"ERROR")</f>
        <v>1.6762717180834119</v>
      </c>
      <c r="E133" s="1623">
        <f>Agricultural!M25</f>
        <v>0.5587572393611373</v>
      </c>
      <c r="F133" s="1"/>
    </row>
    <row r="134" spans="1:6" ht="15.6">
      <c r="A134" s="1"/>
      <c r="B134" s="1620"/>
      <c r="C134" s="1622" t="s">
        <v>1456</v>
      </c>
      <c r="D134" s="1623">
        <f t="shared" si="43"/>
        <v>0</v>
      </c>
      <c r="E134" s="1623">
        <v>0</v>
      </c>
      <c r="F134" s="1"/>
    </row>
    <row r="135" spans="1:6" ht="14.4">
      <c r="A135" s="1"/>
      <c r="B135" s="1620"/>
      <c r="C135" s="1625" t="s">
        <v>28</v>
      </c>
      <c r="D135" s="1614">
        <f>SUM(D136:D138)</f>
        <v>0.56133504481944352</v>
      </c>
      <c r="E135" s="1614">
        <f>SUM(E136:E138)</f>
        <v>0.31835966162062634</v>
      </c>
      <c r="F135" s="1"/>
    </row>
    <row r="136" spans="1:6" ht="15.6">
      <c r="A136" s="1"/>
      <c r="B136" s="1620"/>
      <c r="C136" s="1622" t="s">
        <v>1454</v>
      </c>
      <c r="D136" s="1623">
        <f>E136/_xlfn.XLOOKUP(C136,C$4:C$7,E$4:E$7,"ERROR")*_xlfn.XLOOKUP(C136,C$4:C$7,D$4:D$7,"ERROR")</f>
        <v>0</v>
      </c>
      <c r="E136" s="1623">
        <v>0</v>
      </c>
      <c r="F136" s="1"/>
    </row>
    <row r="137" spans="1:6" ht="15.6">
      <c r="A137" s="1"/>
      <c r="B137" s="1620"/>
      <c r="C137" s="1622" t="s">
        <v>1455</v>
      </c>
      <c r="D137" s="1623">
        <f t="shared" ref="D137:D138" si="44">E137/_xlfn.XLOOKUP(C137,C$4:C$7,E$4:E$7,"ERROR")*_xlfn.XLOOKUP(C137,C$4:C$7,D$4:D$7,"ERROR")</f>
        <v>0.36557534581529483</v>
      </c>
      <c r="E137" s="1623">
        <f>Agricultural!W59</f>
        <v>0.12185844860509826</v>
      </c>
      <c r="F137" s="1"/>
    </row>
    <row r="138" spans="1:6" ht="15.6">
      <c r="A138" s="1"/>
      <c r="B138" s="1620"/>
      <c r="C138" s="1622" t="s">
        <v>1456</v>
      </c>
      <c r="D138" s="1623">
        <f t="shared" si="44"/>
        <v>0.19575969900414872</v>
      </c>
      <c r="E138" s="1623">
        <f>Agricultural!U85</f>
        <v>0.19650121301552806</v>
      </c>
      <c r="F138" s="1"/>
    </row>
    <row r="139" spans="1:6" ht="14.4">
      <c r="A139" s="1"/>
      <c r="B139" s="1620"/>
      <c r="C139" s="1625" t="s">
        <v>29</v>
      </c>
      <c r="D139" s="1614">
        <f>SUM(D140:D142)</f>
        <v>0.86836731334586381</v>
      </c>
      <c r="E139" s="1614">
        <f>SUM(E140:E142)</f>
        <v>0.87165658347217401</v>
      </c>
      <c r="F139" s="1"/>
    </row>
    <row r="140" spans="1:6" ht="15.6">
      <c r="A140" s="1"/>
      <c r="B140" s="1620"/>
      <c r="C140" s="1622" t="s">
        <v>1454</v>
      </c>
      <c r="D140" s="1623">
        <f>E140/_xlfn.XLOOKUP(C140,C$4:C$7,E$4:E$7,"ERROR")*_xlfn.XLOOKUP(C140,C$4:C$7,D$4:D$7,"ERROR")</f>
        <v>0</v>
      </c>
      <c r="E140" s="1623">
        <v>0</v>
      </c>
      <c r="F140" s="1"/>
    </row>
    <row r="141" spans="1:6" ht="15.6">
      <c r="A141" s="1"/>
      <c r="B141" s="1620"/>
      <c r="C141" s="1622" t="s">
        <v>1455</v>
      </c>
      <c r="D141" s="1623">
        <f t="shared" ref="D141:D142" si="45">E141/_xlfn.XLOOKUP(C141,C$4:C$7,E$4:E$7,"ERROR")*_xlfn.XLOOKUP(C141,C$4:C$7,D$4:D$7,"ERROR")</f>
        <v>0</v>
      </c>
      <c r="E141" s="1623">
        <v>0</v>
      </c>
      <c r="F141" s="1"/>
    </row>
    <row r="142" spans="1:6" ht="15.6">
      <c r="A142" s="1"/>
      <c r="B142" s="1620"/>
      <c r="C142" s="1622" t="s">
        <v>1456</v>
      </c>
      <c r="D142" s="1623">
        <f t="shared" si="45"/>
        <v>0.86836731334586381</v>
      </c>
      <c r="E142" s="1623">
        <f>Agricultural!E221</f>
        <v>0.87165658347217401</v>
      </c>
      <c r="F142" s="1"/>
    </row>
    <row r="143" spans="1:6" ht="14.4">
      <c r="A143" s="1"/>
      <c r="B143" s="1620"/>
      <c r="C143" s="1625" t="s">
        <v>30</v>
      </c>
      <c r="D143" s="1614">
        <f>SUM(D144:D146)</f>
        <v>1.7599225346597261E-2</v>
      </c>
      <c r="E143" s="1614">
        <f>SUM(E144:E146)</f>
        <v>7.2252795181278855E-3</v>
      </c>
      <c r="F143" s="1"/>
    </row>
    <row r="144" spans="1:6" ht="15.6">
      <c r="A144" s="1"/>
      <c r="B144" s="1620"/>
      <c r="C144" s="1622" t="s">
        <v>1454</v>
      </c>
      <c r="D144" s="1623">
        <f>E144/_xlfn.XLOOKUP(C144,C$4:C$7,E$4:E$7,"ERROR")*_xlfn.XLOOKUP(C144,C$4:C$7,D$4:D$7,"ERROR")</f>
        <v>0</v>
      </c>
      <c r="E144" s="1623">
        <v>0</v>
      </c>
      <c r="F144" s="1"/>
    </row>
    <row r="145" spans="1:7" ht="15.6">
      <c r="A145" s="1"/>
      <c r="B145" s="1620"/>
      <c r="C145" s="1622" t="s">
        <v>1455</v>
      </c>
      <c r="D145" s="1623">
        <f t="shared" ref="D145:D146" si="46">E145/_xlfn.XLOOKUP(C145,C$4:C$7,E$4:E$7,"ERROR")*_xlfn.XLOOKUP(C145,C$4:C$7,D$4:D$7,"ERROR")</f>
        <v>1.5572434599223233E-2</v>
      </c>
      <c r="E145" s="1623">
        <f>Agricultural!E231</f>
        <v>5.190811533074411E-3</v>
      </c>
      <c r="F145" s="1"/>
    </row>
    <row r="146" spans="1:7" ht="15.6">
      <c r="A146" s="1"/>
      <c r="B146" s="1620"/>
      <c r="C146" s="1622" t="s">
        <v>1456</v>
      </c>
      <c r="D146" s="1623">
        <f t="shared" si="46"/>
        <v>2.0267907473740274E-3</v>
      </c>
      <c r="E146" s="1623">
        <f>Agricultural!E235</f>
        <v>2.0344679850534744E-3</v>
      </c>
      <c r="F146" s="1"/>
    </row>
    <row r="147" spans="1:7" ht="14.4">
      <c r="A147" s="1"/>
      <c r="B147" s="1620"/>
      <c r="C147" s="1625" t="s">
        <v>31</v>
      </c>
      <c r="D147" s="1614">
        <f>SUM(D148:D150)</f>
        <v>0.12241756999999999</v>
      </c>
      <c r="E147" s="1614">
        <f>SUM(E148:E150)</f>
        <v>0.12241756999999999</v>
      </c>
      <c r="F147" s="1"/>
    </row>
    <row r="148" spans="1:7" ht="15.6">
      <c r="A148" s="1"/>
      <c r="B148" s="1620"/>
      <c r="C148" s="1622" t="s">
        <v>1454</v>
      </c>
      <c r="D148" s="1623">
        <f>E148/_xlfn.XLOOKUP(C148,C$4:C$7,E$4:E$7,"ERROR")*_xlfn.XLOOKUP(C148,C$4:C$7,D$4:D$7,"ERROR")</f>
        <v>0.12241756999999999</v>
      </c>
      <c r="E148" s="1623">
        <f>Agriculture_Liming!G7+Agriculture_Liming!G21</f>
        <v>0.12241756999999999</v>
      </c>
      <c r="F148" s="1"/>
    </row>
    <row r="149" spans="1:7" ht="15.6">
      <c r="A149" s="1"/>
      <c r="B149" s="1620"/>
      <c r="C149" s="1622" t="s">
        <v>1455</v>
      </c>
      <c r="D149" s="1623">
        <f t="shared" ref="D149:D150" si="47">E149/_xlfn.XLOOKUP(C149,C$4:C$7,E$4:E$7,"ERROR")*_xlfn.XLOOKUP(C149,C$4:C$7,D$4:D$7,"ERROR")</f>
        <v>0</v>
      </c>
      <c r="E149" s="1623">
        <v>0</v>
      </c>
      <c r="F149" s="1"/>
    </row>
    <row r="150" spans="1:7" ht="15.6">
      <c r="A150" s="1"/>
      <c r="B150" s="1624"/>
      <c r="C150" s="1622" t="s">
        <v>1456</v>
      </c>
      <c r="D150" s="1623">
        <f t="shared" si="47"/>
        <v>0</v>
      </c>
      <c r="E150" s="1623">
        <v>0</v>
      </c>
      <c r="F150" s="1"/>
    </row>
    <row r="151" spans="1:7" ht="14.4">
      <c r="A151" s="1"/>
      <c r="B151" s="1628" t="s">
        <v>32</v>
      </c>
      <c r="C151" s="1629"/>
      <c r="D151" s="1627">
        <f t="shared" ref="D151" si="48">D152+D156+D160+D164</f>
        <v>9.9596394332261333</v>
      </c>
      <c r="E151" s="1627">
        <f t="shared" ref="E151" si="49">E152+E156+E160+E164</f>
        <v>4.6525514397855661</v>
      </c>
      <c r="F151" s="1"/>
      <c r="G151" s="7"/>
    </row>
    <row r="152" spans="1:7" ht="14.4">
      <c r="A152" s="1"/>
      <c r="B152" s="1618"/>
      <c r="C152" s="1625" t="s">
        <v>33</v>
      </c>
      <c r="D152" s="1614">
        <f>SUM(D153:D155)</f>
        <v>1.2893146020310287</v>
      </c>
      <c r="E152" s="1614">
        <f>SUM(E153:E155)</f>
        <v>1.2893795393093614</v>
      </c>
      <c r="F152" s="1"/>
    </row>
    <row r="153" spans="1:7" ht="15.6">
      <c r="A153" s="1"/>
      <c r="B153" s="1620"/>
      <c r="C153" s="1622" t="s">
        <v>1454</v>
      </c>
      <c r="D153" s="1623">
        <f>E153/_xlfn.XLOOKUP(C153,C$4:C$7,E$4:E$7,"ERROR")*_xlfn.XLOOKUP(C153,C$4:C$7,D$4:D$7,"ERROR")</f>
        <v>1.2721711605512047</v>
      </c>
      <c r="E153" s="1623">
        <f>Incinerators!C34</f>
        <v>1.2721711605512047</v>
      </c>
      <c r="F153" s="1"/>
    </row>
    <row r="154" spans="1:7" ht="15.6">
      <c r="A154" s="1"/>
      <c r="B154" s="1620"/>
      <c r="C154" s="1622" t="s">
        <v>1455</v>
      </c>
      <c r="D154" s="1623">
        <f t="shared" ref="D154:D155" si="50">E154/_xlfn.XLOOKUP(C154,C$4:C$7,E$4:E$7,"ERROR")*_xlfn.XLOOKUP(C154,C$4:C$7,D$4:D$7,"ERROR")</f>
        <v>0</v>
      </c>
      <c r="E154" s="1623">
        <v>0</v>
      </c>
      <c r="F154" s="1"/>
    </row>
    <row r="155" spans="1:7" ht="15.6">
      <c r="A155" s="1"/>
      <c r="B155" s="1620"/>
      <c r="C155" s="1622" t="s">
        <v>1456</v>
      </c>
      <c r="D155" s="1623">
        <f t="shared" si="50"/>
        <v>1.7143441479824034E-2</v>
      </c>
      <c r="E155" s="1623">
        <f>Incinerators!C45</f>
        <v>1.72083787581567E-2</v>
      </c>
      <c r="F155" s="1"/>
    </row>
    <row r="156" spans="1:7" ht="14.4">
      <c r="A156" s="1"/>
      <c r="B156" s="1620"/>
      <c r="C156" s="1625" t="s">
        <v>34</v>
      </c>
      <c r="D156" s="1614">
        <f>SUM(D157:D159)</f>
        <v>6.9870950335784112</v>
      </c>
      <c r="E156" s="1614">
        <f>SUM(E157:E159)</f>
        <v>2.6855718563889219</v>
      </c>
      <c r="F156" s="1"/>
      <c r="G156" s="7"/>
    </row>
    <row r="157" spans="1:7" ht="15.6">
      <c r="A157" s="1"/>
      <c r="B157" s="1620"/>
      <c r="C157" s="1622" t="s">
        <v>1454</v>
      </c>
      <c r="D157" s="1623">
        <f>E157/_xlfn.XLOOKUP(C157,C$4:C$7,E$4:E$7,"ERROR")*_xlfn.XLOOKUP(C157,C$4:C$7,D$4:D$7,"ERROR")</f>
        <v>0.53481026779417729</v>
      </c>
      <c r="E157" s="1623">
        <f>Landfills!V101</f>
        <v>0.53481026779417729</v>
      </c>
      <c r="F157" s="1"/>
    </row>
    <row r="158" spans="1:7" ht="15.6">
      <c r="A158" s="1"/>
      <c r="B158" s="1620"/>
      <c r="C158" s="1622" t="s">
        <v>1455</v>
      </c>
      <c r="D158" s="1623">
        <f t="shared" ref="D158:D159" si="51">E158/_xlfn.XLOOKUP(C158,C$4:C$7,E$4:E$7,"ERROR")*_xlfn.XLOOKUP(C158,C$4:C$7,D$4:D$7,"ERROR")</f>
        <v>6.4522847657842339</v>
      </c>
      <c r="E158" s="1623">
        <f>Landfills!V97/1000000</f>
        <v>2.1507615885947446</v>
      </c>
      <c r="F158" s="1"/>
    </row>
    <row r="159" spans="1:7" ht="15.6">
      <c r="A159" s="1"/>
      <c r="B159" s="1620"/>
      <c r="C159" s="1622" t="s">
        <v>1456</v>
      </c>
      <c r="D159" s="1623">
        <f t="shared" si="51"/>
        <v>0</v>
      </c>
      <c r="E159" s="1623">
        <v>0</v>
      </c>
      <c r="F159" s="1"/>
    </row>
    <row r="160" spans="1:7" ht="14.4">
      <c r="A160" s="1"/>
      <c r="B160" s="1620"/>
      <c r="C160" s="1625" t="s">
        <v>35</v>
      </c>
      <c r="D160" s="1614">
        <f>SUM(D161:D163)</f>
        <v>1.6502297976166944</v>
      </c>
      <c r="E160" s="1614">
        <f>SUM(E161:E163)</f>
        <v>0.64460004408728189</v>
      </c>
      <c r="F160" s="1"/>
    </row>
    <row r="161" spans="1:7" ht="15.6">
      <c r="A161" s="1"/>
      <c r="B161" s="1620"/>
      <c r="C161" s="1622" t="s">
        <v>1454</v>
      </c>
      <c r="D161" s="1623">
        <f>E161/_xlfn.XLOOKUP(C161,C$4:C$7,E$4:E$7,"ERROR")*_xlfn.XLOOKUP(C161,C$4:C$7,D$4:D$7,"ERROR")</f>
        <v>0</v>
      </c>
      <c r="E161" s="1623">
        <v>0</v>
      </c>
      <c r="F161" s="1"/>
    </row>
    <row r="162" spans="1:7" ht="15.6">
      <c r="A162" s="1"/>
      <c r="B162" s="1620"/>
      <c r="C162" s="1622" t="s">
        <v>1455</v>
      </c>
      <c r="D162" s="1623">
        <f t="shared" ref="D162:D163" si="52">E162/_xlfn.XLOOKUP(C162,C$4:C$7,E$4:E$7,"ERROR")*_xlfn.XLOOKUP(C162,C$4:C$7,D$4:D$7,"ERROR")</f>
        <v>1.509245676437184</v>
      </c>
      <c r="E162" s="1623">
        <f>Wastewater!C28+Wastewater!C30</f>
        <v>0.50308189214572796</v>
      </c>
      <c r="F162" s="1"/>
    </row>
    <row r="163" spans="1:7" ht="15.6">
      <c r="A163" s="1"/>
      <c r="B163" s="1620"/>
      <c r="C163" s="1622" t="s">
        <v>1456</v>
      </c>
      <c r="D163" s="1623">
        <f t="shared" si="52"/>
        <v>0.14098412117951037</v>
      </c>
      <c r="E163" s="1623">
        <f>Wastewater!C29</f>
        <v>0.14151815194155398</v>
      </c>
      <c r="F163" s="1"/>
    </row>
    <row r="164" spans="1:7" ht="14.4">
      <c r="A164" s="1"/>
      <c r="B164" s="1620"/>
      <c r="C164" s="1625" t="s">
        <v>36</v>
      </c>
      <c r="D164" s="1614">
        <f>SUM(D165:D167)</f>
        <v>3.3000000000000002E-2</v>
      </c>
      <c r="E164" s="1614">
        <f>SUM(E165:E167)</f>
        <v>3.3000000000000002E-2</v>
      </c>
      <c r="F164" s="1"/>
    </row>
    <row r="165" spans="1:7" ht="15.6">
      <c r="A165" s="1"/>
      <c r="B165" s="1620"/>
      <c r="C165" s="1622" t="s">
        <v>1454</v>
      </c>
      <c r="D165" s="1623">
        <f>E165/_xlfn.XLOOKUP(C165,C$4:C$7,E$4:E$7,"ERROR")*_xlfn.XLOOKUP(C165,C$4:C$7,D$4:D$7,"ERROR")</f>
        <v>3.3000000000000002E-2</v>
      </c>
      <c r="E165" s="1623">
        <f>OpenBurn!D7</f>
        <v>3.3000000000000002E-2</v>
      </c>
      <c r="F165" s="1"/>
    </row>
    <row r="166" spans="1:7" ht="15.6">
      <c r="A166" s="1"/>
      <c r="B166" s="1620"/>
      <c r="C166" s="1622" t="s">
        <v>1455</v>
      </c>
      <c r="D166" s="1623">
        <f t="shared" ref="D166:D167" si="53">E166/_xlfn.XLOOKUP(C166,C$4:C$7,E$4:E$7,"ERROR")*_xlfn.XLOOKUP(C166,C$4:C$7,D$4:D$7,"ERROR")</f>
        <v>0</v>
      </c>
      <c r="E166" s="1623">
        <v>0</v>
      </c>
      <c r="F166" s="1"/>
    </row>
    <row r="167" spans="1:7" ht="15.6">
      <c r="A167" s="1"/>
      <c r="B167" s="1624"/>
      <c r="C167" s="1622" t="s">
        <v>1456</v>
      </c>
      <c r="D167" s="1623">
        <f t="shared" si="53"/>
        <v>0</v>
      </c>
      <c r="E167" s="1623">
        <v>0</v>
      </c>
      <c r="F167" s="1"/>
    </row>
    <row r="168" spans="1:7" ht="14.4">
      <c r="A168" s="1"/>
      <c r="B168" s="1649" t="s">
        <v>37</v>
      </c>
      <c r="C168" s="1650"/>
      <c r="D168" s="1617">
        <f t="shared" ref="D168" si="54">D151+D130+D93+D80+D47+D30+D11</f>
        <v>121.68230787486146</v>
      </c>
      <c r="E168" s="1617">
        <f t="shared" ref="E168" si="55">E151+E130+E93+E80+E47+E30+E11</f>
        <v>109.81656702894065</v>
      </c>
      <c r="F168" s="1"/>
      <c r="G168" s="7"/>
    </row>
    <row r="169" spans="1:7" ht="14.4">
      <c r="A169" s="1"/>
      <c r="B169" s="1630"/>
      <c r="C169" s="1631"/>
      <c r="D169" s="1632"/>
      <c r="E169" s="1633"/>
      <c r="F169" s="1"/>
    </row>
    <row r="170" spans="1:7" ht="14.4">
      <c r="A170" s="1"/>
      <c r="B170" s="1649" t="s">
        <v>38</v>
      </c>
      <c r="C170" s="1650"/>
      <c r="D170" s="1617">
        <f t="shared" ref="D170" si="56">D171+D172+D173+D175+D178+D179</f>
        <v>-7.8268002228398306</v>
      </c>
      <c r="E170" s="1617">
        <f t="shared" ref="E170" si="57">E171+E172+E173+E175+E178+E179</f>
        <v>-8.5768970654209724</v>
      </c>
      <c r="F170" s="1"/>
    </row>
    <row r="171" spans="1:7" ht="14.4">
      <c r="A171" s="1"/>
      <c r="B171" s="1618"/>
      <c r="C171" s="1619" t="s">
        <v>39</v>
      </c>
      <c r="D171" s="1623">
        <f>E171</f>
        <v>-7.0698906666666677</v>
      </c>
      <c r="E171" s="1623">
        <f>Land_Use!C232</f>
        <v>-7.0698906666666677</v>
      </c>
      <c r="F171" s="1"/>
    </row>
    <row r="172" spans="1:7" ht="14.4">
      <c r="A172" s="1"/>
      <c r="B172" s="1620"/>
      <c r="C172" s="1619" t="s">
        <v>40</v>
      </c>
      <c r="D172" s="1623">
        <f>E172</f>
        <v>-0.90467683894012485</v>
      </c>
      <c r="E172" s="1623">
        <f>Land_Use!C239</f>
        <v>-0.90467683894012485</v>
      </c>
      <c r="F172" s="1"/>
    </row>
    <row r="173" spans="1:7" ht="14.4">
      <c r="A173" s="1"/>
      <c r="B173" s="1620"/>
      <c r="C173" s="1619" t="s">
        <v>41</v>
      </c>
      <c r="D173" s="1634">
        <f t="shared" ref="D173" si="58">D174</f>
        <v>1.94225328E-2</v>
      </c>
      <c r="E173" s="1634">
        <f t="shared" ref="E173" si="59">E174</f>
        <v>1.9496103000000001E-2</v>
      </c>
      <c r="F173" s="1"/>
    </row>
    <row r="174" spans="1:7" ht="15.6">
      <c r="A174" s="1"/>
      <c r="B174" s="1620"/>
      <c r="C174" s="1622" t="s">
        <v>1456</v>
      </c>
      <c r="D174" s="1623">
        <f>E174/_xlfn.XLOOKUP(C174,C$4:C$7,E$4:E$7,"ERROR")*_xlfn.XLOOKUP(C174,C$4:C$7,D$4:D$7,"ERROR")</f>
        <v>1.94225328E-2</v>
      </c>
      <c r="E174" s="1623">
        <f>Land_Use!C243</f>
        <v>1.9496103000000001E-2</v>
      </c>
      <c r="F174" s="1"/>
    </row>
    <row r="175" spans="1:7" ht="14.4">
      <c r="A175" s="1"/>
      <c r="B175" s="1620"/>
      <c r="C175" s="1619" t="s">
        <v>42</v>
      </c>
      <c r="D175" s="1634">
        <f t="shared" ref="D175" si="60">D176+D177</f>
        <v>0.13540484453667836</v>
      </c>
      <c r="E175" s="1634">
        <f t="shared" ref="E175" si="61">E176+E177</f>
        <v>4.8851023284791989E-2</v>
      </c>
      <c r="F175" s="1"/>
    </row>
    <row r="176" spans="1:7" ht="15.6">
      <c r="A176" s="1"/>
      <c r="B176" s="1620"/>
      <c r="C176" s="1622" t="s">
        <v>1455</v>
      </c>
      <c r="D176" s="1623">
        <f>E176/_xlfn.XLOOKUP(C176,C$4:C$7,E$4:E$7,"ERROR")*_xlfn.XLOOKUP(C176,C$4:C$7,D$4:D$7,"ERROR")</f>
        <v>0.12986222403974396</v>
      </c>
      <c r="E176" s="1623">
        <f>Land_Use!C245</f>
        <v>4.3287408013247992E-2</v>
      </c>
      <c r="F176" s="1"/>
    </row>
    <row r="177" spans="1:7" ht="15.6">
      <c r="A177" s="1"/>
      <c r="B177" s="1620"/>
      <c r="C177" s="1622" t="s">
        <v>1456</v>
      </c>
      <c r="D177" s="1623">
        <f>E177/_xlfn.XLOOKUP(C177,C$4:C$7,E$4:E$7,"ERROR")*_xlfn.XLOOKUP(C177,C$4:C$7,D$4:D$7,"ERROR")</f>
        <v>5.5426204969343989E-3</v>
      </c>
      <c r="E177" s="1623">
        <f>Land_Use!C246</f>
        <v>5.5636152715439991E-3</v>
      </c>
      <c r="F177" s="1"/>
    </row>
    <row r="178" spans="1:7" ht="14.4">
      <c r="A178" s="1"/>
      <c r="B178" s="1620"/>
      <c r="C178" s="1619" t="s">
        <v>43</v>
      </c>
      <c r="D178" s="1623">
        <f>E178</f>
        <v>-0.39400000000000002</v>
      </c>
      <c r="E178" s="1623">
        <f>Land_Use!C247</f>
        <v>-0.39400000000000002</v>
      </c>
      <c r="F178" s="1"/>
    </row>
    <row r="179" spans="1:7" ht="14.4">
      <c r="A179" s="1"/>
      <c r="B179" s="1620"/>
      <c r="C179" s="1619" t="s">
        <v>44</v>
      </c>
      <c r="D179" s="1634">
        <f t="shared" ref="D179" si="62">D180+D181</f>
        <v>0.38693990543028334</v>
      </c>
      <c r="E179" s="1634">
        <f t="shared" ref="E179" si="63">E180+E181</f>
        <v>-0.27667668609897178</v>
      </c>
      <c r="F179" s="1"/>
    </row>
    <row r="180" spans="1:7" ht="15.6">
      <c r="A180" s="1"/>
      <c r="B180" s="1620"/>
      <c r="C180" s="1622" t="s">
        <v>1454</v>
      </c>
      <c r="D180" s="1623">
        <f>E180/_xlfn.XLOOKUP(C180,C$4:C$7,E$4:E$7,"ERROR")*_xlfn.XLOOKUP(C180,C$4:C$7,D$4:D$7,"ERROR")</f>
        <v>-0.60848498186359934</v>
      </c>
      <c r="E180" s="1623">
        <f>Land_Use!C249</f>
        <v>-0.60848498186359934</v>
      </c>
      <c r="F180" s="1"/>
    </row>
    <row r="181" spans="1:7" ht="15.6">
      <c r="A181" s="1"/>
      <c r="B181" s="1624"/>
      <c r="C181" s="1622" t="s">
        <v>1455</v>
      </c>
      <c r="D181" s="1623">
        <f>E181/_xlfn.XLOOKUP(C181,C$4:C$7,E$4:E$7,"ERROR")*_xlfn.XLOOKUP(C181,C$4:C$7,D$4:D$7,"ERROR")</f>
        <v>0.99542488729388268</v>
      </c>
      <c r="E181" s="1623">
        <f>Land_Use!C250</f>
        <v>0.33180829576462756</v>
      </c>
      <c r="F181" s="1"/>
    </row>
    <row r="182" spans="1:7" ht="14.4">
      <c r="A182" s="1"/>
      <c r="B182" s="1651" t="s">
        <v>45</v>
      </c>
      <c r="C182" s="1652"/>
      <c r="D182" s="1617">
        <f t="shared" ref="D182" si="64">D168+D170</f>
        <v>113.85550765202163</v>
      </c>
      <c r="E182" s="1617">
        <f t="shared" ref="E182" si="65">E168+E170</f>
        <v>101.23966996351967</v>
      </c>
      <c r="F182" s="1"/>
      <c r="G182" s="7"/>
    </row>
    <row r="183" spans="1:7" ht="15" thickBot="1">
      <c r="A183" s="1"/>
      <c r="B183" s="1611"/>
      <c r="C183" s="1612"/>
      <c r="D183" s="1635"/>
      <c r="E183" s="1635"/>
    </row>
    <row r="184" spans="1:7" ht="14.4">
      <c r="A184" s="1"/>
      <c r="B184" s="3"/>
      <c r="C184" s="3"/>
      <c r="E184" s="8"/>
    </row>
    <row r="185" spans="1:7" ht="15" thickBot="1">
      <c r="A185" s="1"/>
      <c r="B185" s="1583"/>
      <c r="C185" s="9"/>
      <c r="E185" s="10"/>
    </row>
    <row r="186" spans="1:7" ht="15" customHeight="1">
      <c r="A186" s="1"/>
      <c r="B186" s="1645"/>
      <c r="C186" s="1637"/>
      <c r="D186" s="1638" t="s">
        <v>1467</v>
      </c>
      <c r="E186" s="1639" t="s">
        <v>1468</v>
      </c>
    </row>
    <row r="187" spans="1:7" ht="15" customHeight="1">
      <c r="A187" s="1"/>
      <c r="B187" s="1636"/>
      <c r="C187" s="1640" t="s">
        <v>46</v>
      </c>
      <c r="D187" s="1641">
        <f>D11</f>
        <v>42.475962534358814</v>
      </c>
      <c r="E187" s="1641">
        <f>E11</f>
        <v>42.457414206129286</v>
      </c>
    </row>
    <row r="188" spans="1:7" ht="15" customHeight="1">
      <c r="A188" s="1"/>
      <c r="B188" s="1636"/>
      <c r="C188" s="1640" t="s">
        <v>47</v>
      </c>
      <c r="D188" s="1641">
        <f>D30</f>
        <v>17.140791578509258</v>
      </c>
      <c r="E188" s="1641">
        <f>E30</f>
        <v>16.893541495979825</v>
      </c>
    </row>
    <row r="189" spans="1:7" ht="15" customHeight="1">
      <c r="A189" s="1"/>
      <c r="B189" s="1636"/>
      <c r="C189" s="1640" t="s">
        <v>48</v>
      </c>
      <c r="D189" s="1641">
        <f>D48+D56</f>
        <v>29.731945806451613</v>
      </c>
      <c r="E189" s="1641">
        <f>E48+E56</f>
        <v>29.60962741935484</v>
      </c>
    </row>
    <row r="190" spans="1:7" ht="15" customHeight="1">
      <c r="A190" s="1"/>
      <c r="C190" s="1640" t="s">
        <v>49</v>
      </c>
      <c r="D190" s="1641">
        <f>D52+D60+D64+D68+D72+D76</f>
        <v>5.8216025267255063</v>
      </c>
      <c r="E190" s="1641">
        <f>E52+E60+E64+E68+E72+E76</f>
        <v>5.79871527449182</v>
      </c>
    </row>
    <row r="191" spans="1:7" ht="15" customHeight="1">
      <c r="A191" s="1"/>
      <c r="C191" s="1640" t="str">
        <f>B80</f>
        <v>Fossil Fuel Industry</v>
      </c>
      <c r="D191" s="1641">
        <f>D80</f>
        <v>3.8834947537560187</v>
      </c>
      <c r="E191" s="1641">
        <f>E80</f>
        <v>1.3723361412599022</v>
      </c>
    </row>
    <row r="192" spans="1:7" ht="15" customHeight="1">
      <c r="A192" s="1"/>
      <c r="C192" s="1640" t="str">
        <f>B93</f>
        <v>Industrial Processes and Product Use</v>
      </c>
      <c r="D192" s="1641">
        <f>D93</f>
        <v>9.4228803702388007</v>
      </c>
      <c r="E192" s="1641">
        <f>E93</f>
        <v>7.153964717967348</v>
      </c>
    </row>
    <row r="193" spans="1:5" ht="15" customHeight="1">
      <c r="A193" s="1"/>
      <c r="C193" s="1640" t="str">
        <f>B130</f>
        <v>Agriculture</v>
      </c>
      <c r="D193" s="1641">
        <f>D130</f>
        <v>3.2459908715953163</v>
      </c>
      <c r="E193" s="1641">
        <f>E130</f>
        <v>1.8784163339720656</v>
      </c>
    </row>
    <row r="194" spans="1:5" ht="15" customHeight="1">
      <c r="A194" s="1"/>
      <c r="C194" s="1640" t="str">
        <f>B151</f>
        <v>Waste Management</v>
      </c>
      <c r="D194" s="1641">
        <f>D151</f>
        <v>9.9596394332261333</v>
      </c>
      <c r="E194" s="1641">
        <f>E151</f>
        <v>4.6525514397855661</v>
      </c>
    </row>
    <row r="195" spans="1:5" ht="15" customHeight="1" thickBot="1">
      <c r="A195" s="1"/>
      <c r="C195" s="1642"/>
      <c r="D195" s="1643">
        <f>SUM(D187:D194)</f>
        <v>121.68230787486145</v>
      </c>
      <c r="E195" s="1644">
        <f t="shared" ref="E195" si="66">SUM(E187:E194)</f>
        <v>109.81656702894067</v>
      </c>
    </row>
    <row r="196" spans="1:5">
      <c r="A196" s="1"/>
      <c r="E196" s="11"/>
    </row>
    <row r="197" spans="1:5">
      <c r="A197" s="1"/>
      <c r="E197" s="11"/>
    </row>
    <row r="198" spans="1:5">
      <c r="A198" s="1"/>
      <c r="E198" s="11"/>
    </row>
    <row r="199" spans="1:5">
      <c r="A199" s="1"/>
      <c r="E199" s="11"/>
    </row>
    <row r="200" spans="1:5">
      <c r="A200" s="1"/>
      <c r="E200" s="11"/>
    </row>
    <row r="201" spans="1:5">
      <c r="A201" s="1"/>
      <c r="E201" s="11"/>
    </row>
    <row r="202" spans="1:5">
      <c r="A202" s="1"/>
      <c r="E202" s="11"/>
    </row>
    <row r="203" spans="1:5">
      <c r="A203" s="1"/>
      <c r="E203" s="11"/>
    </row>
    <row r="204" spans="1:5">
      <c r="A204" s="1"/>
      <c r="E204" s="11"/>
    </row>
    <row r="205" spans="1:5">
      <c r="A205" s="1"/>
      <c r="E205" s="11"/>
    </row>
    <row r="206" spans="1:5">
      <c r="A206" s="1"/>
      <c r="E206" s="11"/>
    </row>
    <row r="207" spans="1:5">
      <c r="A207" s="1"/>
      <c r="E207" s="11"/>
    </row>
    <row r="208" spans="1:5">
      <c r="A208" s="1"/>
      <c r="E208" s="11"/>
    </row>
    <row r="209" spans="1:5">
      <c r="A209" s="1"/>
      <c r="E209" s="11"/>
    </row>
    <row r="210" spans="1:5">
      <c r="A210" s="1"/>
      <c r="E210" s="11"/>
    </row>
    <row r="211" spans="1:5">
      <c r="A211" s="1"/>
      <c r="E211" s="11"/>
    </row>
    <row r="212" spans="1:5">
      <c r="A212" s="1"/>
      <c r="E212" s="11"/>
    </row>
    <row r="213" spans="1:5">
      <c r="A213" s="1"/>
      <c r="E213" s="11"/>
    </row>
    <row r="214" spans="1:5">
      <c r="A214" s="1"/>
      <c r="E214" s="11"/>
    </row>
    <row r="215" spans="1:5">
      <c r="A215" s="1"/>
      <c r="E215" s="11"/>
    </row>
    <row r="216" spans="1:5">
      <c r="A216" s="1"/>
      <c r="E216" s="11"/>
    </row>
    <row r="217" spans="1:5">
      <c r="A217" s="1"/>
      <c r="E217" s="11"/>
    </row>
    <row r="218" spans="1:5">
      <c r="A218" s="1"/>
      <c r="E218" s="11"/>
    </row>
    <row r="219" spans="1:5">
      <c r="A219" s="1"/>
      <c r="E219" s="11"/>
    </row>
    <row r="220" spans="1:5">
      <c r="A220" s="1"/>
      <c r="E220" s="11"/>
    </row>
    <row r="221" spans="1:5">
      <c r="A221" s="1"/>
      <c r="E221" s="11"/>
    </row>
    <row r="222" spans="1:5">
      <c r="A222" s="1"/>
      <c r="E222" s="11"/>
    </row>
    <row r="223" spans="1:5">
      <c r="A223" s="1"/>
      <c r="E223" s="11"/>
    </row>
    <row r="224" spans="1:5">
      <c r="A224" s="1"/>
      <c r="E224" s="11"/>
    </row>
    <row r="225" spans="1:5">
      <c r="A225" s="1"/>
      <c r="E225" s="11"/>
    </row>
    <row r="226" spans="1:5">
      <c r="A226" s="1"/>
      <c r="E226" s="11"/>
    </row>
    <row r="227" spans="1:5">
      <c r="A227" s="1"/>
      <c r="E227" s="11"/>
    </row>
    <row r="228" spans="1:5">
      <c r="A228" s="1"/>
      <c r="E228" s="11"/>
    </row>
    <row r="229" spans="1:5">
      <c r="A229" s="1"/>
      <c r="E229" s="11"/>
    </row>
    <row r="230" spans="1:5">
      <c r="A230" s="1"/>
      <c r="E230" s="11"/>
    </row>
    <row r="231" spans="1:5">
      <c r="A231" s="1"/>
      <c r="E231" s="11"/>
    </row>
    <row r="232" spans="1:5">
      <c r="A232" s="1"/>
      <c r="E232" s="11"/>
    </row>
    <row r="233" spans="1:5">
      <c r="A233" s="1"/>
      <c r="E233" s="11"/>
    </row>
    <row r="234" spans="1:5">
      <c r="A234" s="1"/>
      <c r="E234" s="11"/>
    </row>
    <row r="235" spans="1:5">
      <c r="A235" s="1"/>
      <c r="E235" s="11"/>
    </row>
    <row r="236" spans="1:5">
      <c r="A236" s="1"/>
      <c r="E236" s="11"/>
    </row>
    <row r="237" spans="1:5">
      <c r="A237" s="1"/>
      <c r="E237" s="11"/>
    </row>
    <row r="238" spans="1:5">
      <c r="A238" s="1"/>
      <c r="E238" s="11"/>
    </row>
    <row r="239" spans="1:5">
      <c r="A239" s="1"/>
      <c r="E239" s="11"/>
    </row>
    <row r="240" spans="1:5">
      <c r="A240" s="1"/>
      <c r="E240" s="11"/>
    </row>
    <row r="241" spans="1:5">
      <c r="A241" s="1"/>
      <c r="E241" s="11"/>
    </row>
    <row r="242" spans="1:5">
      <c r="A242" s="1"/>
      <c r="E242" s="11"/>
    </row>
    <row r="243" spans="1:5">
      <c r="A243" s="1"/>
      <c r="E243" s="11"/>
    </row>
    <row r="244" spans="1:5">
      <c r="A244" s="1"/>
      <c r="E244" s="11"/>
    </row>
    <row r="245" spans="1:5">
      <c r="A245" s="1"/>
      <c r="E245" s="11"/>
    </row>
    <row r="246" spans="1:5">
      <c r="A246" s="1"/>
      <c r="E246" s="11"/>
    </row>
    <row r="247" spans="1:5">
      <c r="A247" s="1"/>
      <c r="E247" s="11"/>
    </row>
    <row r="248" spans="1:5">
      <c r="A248" s="1"/>
      <c r="E248" s="11"/>
    </row>
    <row r="249" spans="1:5">
      <c r="A249" s="1"/>
      <c r="E249" s="11"/>
    </row>
    <row r="250" spans="1:5">
      <c r="A250" s="1"/>
      <c r="E250" s="11"/>
    </row>
    <row r="251" spans="1:5">
      <c r="A251" s="1"/>
      <c r="E251" s="11"/>
    </row>
    <row r="252" spans="1:5">
      <c r="A252" s="1"/>
      <c r="E252" s="11"/>
    </row>
    <row r="253" spans="1:5">
      <c r="A253" s="1"/>
      <c r="E253" s="11"/>
    </row>
    <row r="254" spans="1:5">
      <c r="A254" s="1"/>
      <c r="E254" s="11"/>
    </row>
    <row r="255" spans="1:5">
      <c r="A255" s="1"/>
      <c r="E255" s="11"/>
    </row>
    <row r="256" spans="1:5">
      <c r="A256" s="1"/>
      <c r="E256" s="11"/>
    </row>
    <row r="257" spans="1:5">
      <c r="A257" s="1"/>
      <c r="E257" s="11"/>
    </row>
    <row r="258" spans="1:5">
      <c r="A258" s="1"/>
      <c r="E258" s="11"/>
    </row>
    <row r="259" spans="1:5">
      <c r="A259" s="1"/>
      <c r="E259" s="11"/>
    </row>
    <row r="260" spans="1:5">
      <c r="A260" s="1"/>
      <c r="E260" s="11"/>
    </row>
    <row r="261" spans="1:5">
      <c r="A261" s="1"/>
      <c r="E261" s="11"/>
    </row>
    <row r="262" spans="1:5">
      <c r="A262" s="1"/>
      <c r="E262" s="11"/>
    </row>
    <row r="263" spans="1:5">
      <c r="A263" s="1"/>
      <c r="E263" s="11"/>
    </row>
    <row r="264" spans="1:5">
      <c r="A264" s="1"/>
      <c r="E264" s="11"/>
    </row>
    <row r="265" spans="1:5">
      <c r="A265" s="1"/>
      <c r="E265" s="11"/>
    </row>
    <row r="266" spans="1:5">
      <c r="A266" s="1"/>
      <c r="E266" s="11"/>
    </row>
    <row r="267" spans="1:5">
      <c r="A267" s="1"/>
      <c r="E267" s="11"/>
    </row>
    <row r="268" spans="1:5">
      <c r="A268" s="1"/>
      <c r="E268" s="11"/>
    </row>
    <row r="269" spans="1:5">
      <c r="A269" s="1"/>
      <c r="E269" s="11"/>
    </row>
    <row r="270" spans="1:5">
      <c r="A270" s="1"/>
      <c r="E270" s="11"/>
    </row>
    <row r="271" spans="1:5">
      <c r="A271" s="1"/>
      <c r="E271" s="11"/>
    </row>
    <row r="272" spans="1:5">
      <c r="A272" s="1"/>
      <c r="E272" s="11"/>
    </row>
    <row r="273" spans="1:5">
      <c r="A273" s="1"/>
      <c r="E273" s="11"/>
    </row>
    <row r="274" spans="1:5">
      <c r="A274" s="1"/>
      <c r="E274" s="11"/>
    </row>
    <row r="275" spans="1:5">
      <c r="A275" s="1"/>
      <c r="E275" s="11"/>
    </row>
    <row r="276" spans="1:5">
      <c r="A276" s="1"/>
      <c r="E276" s="11"/>
    </row>
    <row r="277" spans="1:5">
      <c r="A277" s="1"/>
      <c r="E277" s="11"/>
    </row>
    <row r="278" spans="1:5">
      <c r="A278" s="1"/>
      <c r="E278" s="11"/>
    </row>
    <row r="279" spans="1:5">
      <c r="A279" s="1"/>
      <c r="E279" s="11"/>
    </row>
    <row r="280" spans="1:5">
      <c r="A280" s="1"/>
      <c r="E280" s="11"/>
    </row>
    <row r="281" spans="1:5">
      <c r="A281" s="1"/>
      <c r="E281" s="11"/>
    </row>
    <row r="282" spans="1:5">
      <c r="A282" s="1"/>
      <c r="E282" s="11"/>
    </row>
    <row r="283" spans="1:5">
      <c r="A283" s="1"/>
      <c r="E283" s="11"/>
    </row>
    <row r="284" spans="1:5">
      <c r="A284" s="1"/>
      <c r="E284" s="11"/>
    </row>
    <row r="285" spans="1:5">
      <c r="A285" s="1"/>
      <c r="E285" s="11"/>
    </row>
    <row r="286" spans="1:5">
      <c r="A286" s="1"/>
      <c r="E286" s="11"/>
    </row>
    <row r="287" spans="1:5">
      <c r="A287" s="1"/>
      <c r="E287" s="11"/>
    </row>
    <row r="288" spans="1:5">
      <c r="A288" s="1"/>
      <c r="E288" s="11"/>
    </row>
    <row r="289" spans="1:5">
      <c r="A289" s="1"/>
      <c r="E289" s="11"/>
    </row>
    <row r="290" spans="1:5">
      <c r="A290" s="1"/>
      <c r="E290" s="11"/>
    </row>
    <row r="291" spans="1:5">
      <c r="A291" s="1"/>
      <c r="E291" s="11"/>
    </row>
    <row r="292" spans="1:5">
      <c r="A292" s="1"/>
      <c r="E292" s="11"/>
    </row>
    <row r="293" spans="1:5">
      <c r="A293" s="1"/>
      <c r="E293" s="11"/>
    </row>
    <row r="294" spans="1:5">
      <c r="A294" s="1"/>
      <c r="E294" s="11"/>
    </row>
    <row r="295" spans="1:5">
      <c r="A295" s="1"/>
      <c r="E295" s="11"/>
    </row>
    <row r="296" spans="1:5">
      <c r="A296" s="1"/>
      <c r="E296" s="11"/>
    </row>
    <row r="297" spans="1:5">
      <c r="A297" s="1"/>
      <c r="E297" s="11"/>
    </row>
    <row r="298" spans="1:5">
      <c r="A298" s="1"/>
      <c r="E298" s="11"/>
    </row>
    <row r="299" spans="1:5">
      <c r="A299" s="1"/>
      <c r="E299" s="11"/>
    </row>
    <row r="300" spans="1:5">
      <c r="A300" s="1"/>
      <c r="E300" s="11"/>
    </row>
    <row r="301" spans="1:5">
      <c r="A301" s="1"/>
      <c r="E301" s="11"/>
    </row>
    <row r="302" spans="1:5">
      <c r="A302" s="1"/>
      <c r="E302" s="11"/>
    </row>
    <row r="303" spans="1:5">
      <c r="A303" s="1"/>
      <c r="E303" s="11"/>
    </row>
    <row r="304" spans="1:5">
      <c r="A304" s="1"/>
      <c r="E304" s="11"/>
    </row>
    <row r="305" spans="1:5">
      <c r="A305" s="1"/>
      <c r="E305" s="11"/>
    </row>
    <row r="306" spans="1:5">
      <c r="A306" s="1"/>
      <c r="E306" s="11"/>
    </row>
    <row r="307" spans="1:5">
      <c r="A307" s="1"/>
      <c r="E307" s="11"/>
    </row>
    <row r="308" spans="1:5">
      <c r="A308" s="1"/>
      <c r="E308" s="11"/>
    </row>
    <row r="309" spans="1:5">
      <c r="A309" s="1"/>
      <c r="E309" s="11"/>
    </row>
    <row r="310" spans="1:5">
      <c r="A310" s="1"/>
      <c r="E310" s="11"/>
    </row>
    <row r="311" spans="1:5">
      <c r="A311" s="1"/>
      <c r="E311" s="11"/>
    </row>
    <row r="312" spans="1:5">
      <c r="A312" s="1"/>
      <c r="E312" s="11"/>
    </row>
    <row r="313" spans="1:5">
      <c r="A313" s="1"/>
      <c r="E313" s="11"/>
    </row>
    <row r="314" spans="1:5">
      <c r="A314" s="1"/>
      <c r="E314" s="11"/>
    </row>
    <row r="315" spans="1:5">
      <c r="A315" s="1"/>
      <c r="E315" s="11"/>
    </row>
    <row r="316" spans="1:5">
      <c r="A316" s="1"/>
      <c r="E316" s="11"/>
    </row>
    <row r="317" spans="1:5">
      <c r="A317" s="1"/>
      <c r="E317" s="11"/>
    </row>
    <row r="318" spans="1:5">
      <c r="A318" s="1"/>
      <c r="E318" s="11"/>
    </row>
    <row r="319" spans="1:5">
      <c r="A319" s="1"/>
      <c r="E319" s="11"/>
    </row>
    <row r="320" spans="1:5">
      <c r="A320" s="1"/>
      <c r="E320" s="11"/>
    </row>
    <row r="321" spans="1:5">
      <c r="A321" s="1"/>
      <c r="E321" s="11"/>
    </row>
    <row r="322" spans="1:5">
      <c r="A322" s="1"/>
      <c r="E322" s="11"/>
    </row>
    <row r="323" spans="1:5">
      <c r="A323" s="1"/>
      <c r="E323" s="11"/>
    </row>
    <row r="324" spans="1:5">
      <c r="A324" s="1"/>
      <c r="E324" s="11"/>
    </row>
    <row r="325" spans="1:5">
      <c r="A325" s="1"/>
      <c r="E325" s="11"/>
    </row>
    <row r="326" spans="1:5">
      <c r="A326" s="1"/>
      <c r="E326" s="11"/>
    </row>
    <row r="327" spans="1:5">
      <c r="A327" s="1"/>
      <c r="E327" s="11"/>
    </row>
    <row r="328" spans="1:5">
      <c r="A328" s="1"/>
      <c r="E328" s="11"/>
    </row>
    <row r="329" spans="1:5">
      <c r="A329" s="1"/>
      <c r="E329" s="11"/>
    </row>
    <row r="330" spans="1:5">
      <c r="A330" s="1"/>
      <c r="E330" s="11"/>
    </row>
    <row r="331" spans="1:5">
      <c r="A331" s="1"/>
      <c r="E331" s="11"/>
    </row>
    <row r="332" spans="1:5">
      <c r="A332" s="1"/>
      <c r="E332" s="11"/>
    </row>
    <row r="333" spans="1:5">
      <c r="A333" s="1"/>
      <c r="E333" s="11"/>
    </row>
    <row r="334" spans="1:5">
      <c r="A334" s="1"/>
      <c r="E334" s="11"/>
    </row>
    <row r="335" spans="1:5">
      <c r="A335" s="1"/>
      <c r="E335" s="11"/>
    </row>
    <row r="336" spans="1:5">
      <c r="A336" s="1"/>
      <c r="E336" s="11"/>
    </row>
    <row r="337" spans="1:5">
      <c r="A337" s="1"/>
      <c r="E337" s="11"/>
    </row>
    <row r="338" spans="1:5">
      <c r="A338" s="1"/>
      <c r="E338" s="11"/>
    </row>
    <row r="339" spans="1:5">
      <c r="A339" s="1"/>
      <c r="E339" s="11"/>
    </row>
    <row r="340" spans="1:5">
      <c r="A340" s="1"/>
      <c r="E340" s="11"/>
    </row>
    <row r="341" spans="1:5">
      <c r="A341" s="1"/>
      <c r="E341" s="11"/>
    </row>
    <row r="342" spans="1:5">
      <c r="A342" s="1"/>
      <c r="E342" s="11"/>
    </row>
    <row r="343" spans="1:5">
      <c r="A343" s="1"/>
      <c r="E343" s="11"/>
    </row>
    <row r="344" spans="1:5">
      <c r="A344" s="1"/>
      <c r="E344" s="11"/>
    </row>
    <row r="345" spans="1:5">
      <c r="A345" s="1"/>
      <c r="E345" s="11"/>
    </row>
    <row r="346" spans="1:5">
      <c r="A346" s="1"/>
      <c r="E346" s="11"/>
    </row>
    <row r="347" spans="1:5">
      <c r="A347" s="1"/>
      <c r="E347" s="11"/>
    </row>
    <row r="348" spans="1:5">
      <c r="A348" s="1"/>
      <c r="E348" s="11"/>
    </row>
    <row r="349" spans="1:5">
      <c r="A349" s="1"/>
      <c r="E349" s="11"/>
    </row>
    <row r="350" spans="1:5">
      <c r="A350" s="1"/>
      <c r="E350" s="11"/>
    </row>
    <row r="351" spans="1:5">
      <c r="A351" s="1"/>
      <c r="E351" s="11"/>
    </row>
    <row r="352" spans="1:5">
      <c r="A352" s="1"/>
      <c r="E352" s="11"/>
    </row>
    <row r="353" spans="1:5">
      <c r="A353" s="1"/>
      <c r="E353" s="11"/>
    </row>
    <row r="354" spans="1:5">
      <c r="A354" s="1"/>
      <c r="E354" s="11"/>
    </row>
    <row r="355" spans="1:5">
      <c r="A355" s="1"/>
      <c r="E355" s="11"/>
    </row>
    <row r="356" spans="1:5">
      <c r="A356" s="1"/>
      <c r="E356" s="11"/>
    </row>
    <row r="357" spans="1:5">
      <c r="A357" s="1"/>
      <c r="E357" s="11"/>
    </row>
    <row r="358" spans="1:5">
      <c r="A358" s="1"/>
      <c r="E358" s="11"/>
    </row>
    <row r="359" spans="1:5">
      <c r="A359" s="1"/>
      <c r="E359" s="11"/>
    </row>
    <row r="360" spans="1:5">
      <c r="A360" s="1"/>
      <c r="E360" s="11"/>
    </row>
    <row r="361" spans="1:5">
      <c r="A361" s="1"/>
      <c r="E361" s="11"/>
    </row>
    <row r="362" spans="1:5">
      <c r="A362" s="1"/>
      <c r="E362" s="11"/>
    </row>
    <row r="363" spans="1:5">
      <c r="A363" s="1"/>
      <c r="E363" s="11"/>
    </row>
    <row r="364" spans="1:5">
      <c r="A364" s="1"/>
      <c r="E364" s="11"/>
    </row>
    <row r="365" spans="1:5">
      <c r="A365" s="1"/>
      <c r="E365" s="11"/>
    </row>
    <row r="366" spans="1:5">
      <c r="A366" s="1"/>
      <c r="E366" s="11"/>
    </row>
    <row r="367" spans="1:5">
      <c r="A367" s="1"/>
      <c r="E367" s="11"/>
    </row>
    <row r="368" spans="1:5">
      <c r="A368" s="1"/>
      <c r="E368" s="11"/>
    </row>
    <row r="369" spans="1:5">
      <c r="A369" s="1"/>
      <c r="E369" s="11"/>
    </row>
    <row r="370" spans="1:5">
      <c r="A370" s="1"/>
      <c r="E370" s="11"/>
    </row>
    <row r="371" spans="1:5">
      <c r="A371" s="1"/>
      <c r="E371" s="11"/>
    </row>
    <row r="372" spans="1:5">
      <c r="A372" s="1"/>
      <c r="E372" s="11"/>
    </row>
    <row r="373" spans="1:5">
      <c r="A373" s="1"/>
      <c r="E373" s="11"/>
    </row>
    <row r="374" spans="1:5">
      <c r="A374" s="1"/>
      <c r="E374" s="11"/>
    </row>
    <row r="375" spans="1:5">
      <c r="A375" s="1"/>
      <c r="E375" s="11"/>
    </row>
    <row r="376" spans="1:5">
      <c r="A376" s="1"/>
      <c r="E376" s="11"/>
    </row>
    <row r="377" spans="1:5">
      <c r="A377" s="1"/>
      <c r="E377" s="11"/>
    </row>
    <row r="378" spans="1:5">
      <c r="A378" s="1"/>
      <c r="E378" s="11"/>
    </row>
    <row r="379" spans="1:5">
      <c r="A379" s="1"/>
      <c r="E379" s="11"/>
    </row>
    <row r="380" spans="1:5">
      <c r="A380" s="1"/>
      <c r="E380" s="11"/>
    </row>
    <row r="381" spans="1:5">
      <c r="A381" s="1"/>
      <c r="E381" s="11"/>
    </row>
    <row r="382" spans="1:5">
      <c r="A382" s="1"/>
      <c r="E382" s="11"/>
    </row>
    <row r="383" spans="1:5">
      <c r="A383" s="1"/>
      <c r="E383" s="11"/>
    </row>
    <row r="384" spans="1:5">
      <c r="A384" s="1"/>
      <c r="E384" s="11"/>
    </row>
    <row r="385" spans="1:5">
      <c r="A385" s="1"/>
      <c r="E385" s="11"/>
    </row>
    <row r="386" spans="1:5">
      <c r="A386" s="1"/>
      <c r="E386" s="11"/>
    </row>
    <row r="387" spans="1:5">
      <c r="A387" s="1"/>
      <c r="E387" s="11"/>
    </row>
    <row r="388" spans="1:5">
      <c r="A388" s="1"/>
      <c r="E388" s="11"/>
    </row>
    <row r="389" spans="1:5">
      <c r="A389" s="1"/>
      <c r="E389" s="11"/>
    </row>
    <row r="390" spans="1:5">
      <c r="A390" s="1"/>
      <c r="E390" s="11"/>
    </row>
    <row r="391" spans="1:5">
      <c r="A391" s="1"/>
      <c r="E391" s="11"/>
    </row>
    <row r="392" spans="1:5">
      <c r="A392" s="1"/>
      <c r="E392" s="11"/>
    </row>
    <row r="393" spans="1:5">
      <c r="A393" s="1"/>
      <c r="E393" s="11"/>
    </row>
    <row r="394" spans="1:5">
      <c r="A394" s="1"/>
      <c r="E394" s="11"/>
    </row>
    <row r="395" spans="1:5">
      <c r="A395" s="1"/>
    </row>
    <row r="396" spans="1:5">
      <c r="A396" s="1"/>
    </row>
    <row r="397" spans="1:5">
      <c r="A397" s="1"/>
    </row>
    <row r="398" spans="1:5">
      <c r="A398" s="1"/>
    </row>
    <row r="399" spans="1:5">
      <c r="A399" s="1"/>
    </row>
    <row r="400" spans="1:5">
      <c r="A400" s="1"/>
    </row>
    <row r="401" spans="1:1">
      <c r="A401" s="1"/>
    </row>
    <row r="402" spans="1:1">
      <c r="A402" s="1"/>
    </row>
    <row r="403" spans="1:1">
      <c r="A403" s="1"/>
    </row>
    <row r="404" spans="1:1">
      <c r="A404" s="1"/>
    </row>
    <row r="405" spans="1:1">
      <c r="A405" s="1"/>
    </row>
    <row r="406" spans="1:1">
      <c r="A406" s="1"/>
    </row>
    <row r="407" spans="1:1">
      <c r="A407" s="1"/>
    </row>
    <row r="408" spans="1:1">
      <c r="A408" s="1"/>
    </row>
    <row r="409" spans="1:1">
      <c r="A409" s="1"/>
    </row>
    <row r="410" spans="1:1">
      <c r="A410" s="1"/>
    </row>
    <row r="411" spans="1:1">
      <c r="A411" s="1"/>
    </row>
    <row r="412" spans="1:1">
      <c r="A412" s="1"/>
    </row>
    <row r="413" spans="1:1">
      <c r="A413" s="1"/>
    </row>
    <row r="414" spans="1:1">
      <c r="A414" s="1"/>
    </row>
    <row r="415" spans="1:1">
      <c r="A415" s="1"/>
    </row>
    <row r="416" spans="1:1">
      <c r="A416" s="1"/>
    </row>
    <row r="417" spans="1:1">
      <c r="A417" s="1"/>
    </row>
    <row r="418" spans="1:1">
      <c r="A418" s="1"/>
    </row>
    <row r="419" spans="1:1">
      <c r="A419" s="1"/>
    </row>
    <row r="420" spans="1:1">
      <c r="A420" s="1"/>
    </row>
    <row r="421" spans="1:1">
      <c r="A421" s="1"/>
    </row>
    <row r="422" spans="1:1">
      <c r="A422" s="1"/>
    </row>
    <row r="423" spans="1:1">
      <c r="A423" s="1"/>
    </row>
    <row r="424" spans="1:1">
      <c r="A424" s="1"/>
    </row>
    <row r="425" spans="1:1">
      <c r="A425" s="1"/>
    </row>
    <row r="426" spans="1:1">
      <c r="A426" s="1"/>
    </row>
    <row r="427" spans="1:1">
      <c r="A427" s="1"/>
    </row>
    <row r="428" spans="1:1">
      <c r="A428" s="1"/>
    </row>
    <row r="429" spans="1:1">
      <c r="A429" s="1"/>
    </row>
    <row r="430" spans="1:1">
      <c r="A430" s="1"/>
    </row>
    <row r="431" spans="1:1">
      <c r="A431" s="1"/>
    </row>
    <row r="432" spans="1:1">
      <c r="A432" s="1"/>
    </row>
    <row r="433" spans="1:1">
      <c r="A433" s="1"/>
    </row>
    <row r="434" spans="1:1">
      <c r="A434" s="1"/>
    </row>
    <row r="435" spans="1:1">
      <c r="A435" s="1"/>
    </row>
    <row r="436" spans="1:1">
      <c r="A436" s="1"/>
    </row>
    <row r="437" spans="1:1">
      <c r="A437" s="1"/>
    </row>
    <row r="438" spans="1:1">
      <c r="A438" s="1"/>
    </row>
    <row r="439" spans="1:1">
      <c r="A439" s="1"/>
    </row>
    <row r="440" spans="1:1">
      <c r="A440" s="1"/>
    </row>
    <row r="441" spans="1:1">
      <c r="A441" s="1"/>
    </row>
    <row r="442" spans="1:1">
      <c r="A442" s="1"/>
    </row>
    <row r="443" spans="1:1">
      <c r="A443" s="1"/>
    </row>
    <row r="444" spans="1:1">
      <c r="A444" s="1"/>
    </row>
    <row r="445" spans="1:1">
      <c r="A445" s="1"/>
    </row>
    <row r="446" spans="1:1">
      <c r="A446" s="1"/>
    </row>
    <row r="447" spans="1:1">
      <c r="A447" s="1"/>
    </row>
    <row r="448" spans="1:1">
      <c r="A448" s="1"/>
    </row>
    <row r="449" spans="1:1">
      <c r="A449" s="1"/>
    </row>
    <row r="450" spans="1:1">
      <c r="A450" s="1"/>
    </row>
    <row r="451" spans="1:1">
      <c r="A451" s="1"/>
    </row>
    <row r="452" spans="1:1">
      <c r="A452" s="1"/>
    </row>
    <row r="453" spans="1:1">
      <c r="A453" s="1"/>
    </row>
    <row r="454" spans="1:1">
      <c r="A454" s="1"/>
    </row>
    <row r="455" spans="1:1">
      <c r="A455" s="1"/>
    </row>
    <row r="456" spans="1:1">
      <c r="A456" s="1"/>
    </row>
    <row r="457" spans="1:1">
      <c r="A457" s="1"/>
    </row>
    <row r="458" spans="1:1">
      <c r="A458" s="1"/>
    </row>
    <row r="459" spans="1:1">
      <c r="A459" s="1"/>
    </row>
    <row r="460" spans="1:1">
      <c r="A460" s="1"/>
    </row>
    <row r="461" spans="1:1">
      <c r="A461" s="1"/>
    </row>
    <row r="462" spans="1:1">
      <c r="A462" s="1"/>
    </row>
    <row r="463" spans="1:1">
      <c r="A463" s="1"/>
    </row>
    <row r="464" spans="1:1">
      <c r="A464" s="1"/>
    </row>
    <row r="465" spans="1:1">
      <c r="A465" s="1"/>
    </row>
    <row r="466" spans="1:1">
      <c r="A466" s="1"/>
    </row>
    <row r="467" spans="1:1">
      <c r="A467" s="1"/>
    </row>
    <row r="468" spans="1:1">
      <c r="A468" s="1"/>
    </row>
    <row r="469" spans="1:1">
      <c r="A469" s="1"/>
    </row>
    <row r="470" spans="1:1">
      <c r="A470" s="1"/>
    </row>
    <row r="471" spans="1:1">
      <c r="A471" s="1"/>
    </row>
    <row r="472" spans="1:1">
      <c r="A472" s="1"/>
    </row>
    <row r="473" spans="1:1">
      <c r="A473" s="1"/>
    </row>
    <row r="474" spans="1:1">
      <c r="A474" s="1"/>
    </row>
    <row r="475" spans="1:1">
      <c r="A475" s="1"/>
    </row>
    <row r="476" spans="1:1">
      <c r="A476" s="1"/>
    </row>
    <row r="477" spans="1:1">
      <c r="A477" s="1"/>
    </row>
    <row r="478" spans="1:1">
      <c r="A478" s="1"/>
    </row>
    <row r="479" spans="1:1">
      <c r="A479" s="1"/>
    </row>
    <row r="480" spans="1:1">
      <c r="A480" s="1"/>
    </row>
    <row r="481" spans="1:1">
      <c r="A481" s="1"/>
    </row>
    <row r="482" spans="1:1">
      <c r="A482" s="1"/>
    </row>
    <row r="483" spans="1:1">
      <c r="A483" s="1"/>
    </row>
    <row r="484" spans="1:1">
      <c r="A484" s="1"/>
    </row>
    <row r="485" spans="1:1">
      <c r="A485" s="1"/>
    </row>
    <row r="486" spans="1:1">
      <c r="A486" s="1"/>
    </row>
    <row r="487" spans="1:1">
      <c r="A487" s="1"/>
    </row>
    <row r="488" spans="1:1">
      <c r="A488" s="1"/>
    </row>
    <row r="489" spans="1:1">
      <c r="A489" s="1"/>
    </row>
    <row r="490" spans="1:1">
      <c r="A490" s="1"/>
    </row>
    <row r="491" spans="1:1">
      <c r="A491" s="1"/>
    </row>
    <row r="492" spans="1:1">
      <c r="A492" s="1"/>
    </row>
    <row r="493" spans="1:1">
      <c r="A493" s="1"/>
    </row>
    <row r="494" spans="1:1">
      <c r="A494" s="1"/>
    </row>
    <row r="495" spans="1:1">
      <c r="A495" s="1"/>
    </row>
    <row r="496" spans="1:1">
      <c r="A496" s="1"/>
    </row>
    <row r="497" spans="1:1">
      <c r="A497" s="1"/>
    </row>
    <row r="498" spans="1:1">
      <c r="A498" s="1"/>
    </row>
    <row r="499" spans="1:1">
      <c r="A499" s="1"/>
    </row>
    <row r="500" spans="1:1">
      <c r="A500" s="1"/>
    </row>
    <row r="501" spans="1:1">
      <c r="A501" s="1"/>
    </row>
    <row r="502" spans="1:1">
      <c r="A502" s="1"/>
    </row>
    <row r="503" spans="1:1">
      <c r="A503" s="1"/>
    </row>
    <row r="504" spans="1:1">
      <c r="A504" s="1"/>
    </row>
    <row r="505" spans="1:1">
      <c r="A505" s="1"/>
    </row>
    <row r="506" spans="1:1">
      <c r="A506" s="1"/>
    </row>
    <row r="507" spans="1:1">
      <c r="A507" s="1"/>
    </row>
    <row r="508" spans="1:1">
      <c r="A508" s="1"/>
    </row>
    <row r="509" spans="1:1">
      <c r="A509" s="1"/>
    </row>
    <row r="510" spans="1:1">
      <c r="A510" s="1"/>
    </row>
    <row r="511" spans="1:1">
      <c r="A511" s="1"/>
    </row>
    <row r="512" spans="1:1">
      <c r="A512" s="1"/>
    </row>
    <row r="513" spans="1:1">
      <c r="A513" s="1"/>
    </row>
    <row r="514" spans="1:1">
      <c r="A514" s="1"/>
    </row>
    <row r="515" spans="1:1">
      <c r="A515" s="1"/>
    </row>
    <row r="516" spans="1:1">
      <c r="A516" s="1"/>
    </row>
    <row r="517" spans="1:1">
      <c r="A517" s="1"/>
    </row>
    <row r="518" spans="1:1">
      <c r="A518" s="1"/>
    </row>
    <row r="519" spans="1:1">
      <c r="A519" s="1"/>
    </row>
    <row r="520" spans="1:1">
      <c r="A520" s="1"/>
    </row>
    <row r="521" spans="1:1">
      <c r="A521" s="1"/>
    </row>
    <row r="522" spans="1:1">
      <c r="A522" s="1"/>
    </row>
    <row r="523" spans="1:1">
      <c r="A523" s="1"/>
    </row>
    <row r="524" spans="1:1">
      <c r="A524" s="1"/>
    </row>
    <row r="525" spans="1:1">
      <c r="A525" s="1"/>
    </row>
    <row r="526" spans="1:1">
      <c r="A526" s="1"/>
    </row>
    <row r="527" spans="1:1">
      <c r="A527" s="1"/>
    </row>
    <row r="528" spans="1:1">
      <c r="A528" s="1"/>
    </row>
    <row r="529" spans="1:1">
      <c r="A529" s="1"/>
    </row>
    <row r="530" spans="1:1">
      <c r="A530" s="1"/>
    </row>
    <row r="531" spans="1:1">
      <c r="A531" s="1"/>
    </row>
    <row r="532" spans="1:1">
      <c r="A532" s="1"/>
    </row>
    <row r="533" spans="1:1">
      <c r="A533" s="1"/>
    </row>
    <row r="534" spans="1:1">
      <c r="A534" s="1"/>
    </row>
    <row r="535" spans="1:1">
      <c r="A535" s="1"/>
    </row>
    <row r="536" spans="1:1">
      <c r="A536" s="1"/>
    </row>
    <row r="537" spans="1:1">
      <c r="A537" s="1"/>
    </row>
    <row r="538" spans="1:1">
      <c r="A538" s="1"/>
    </row>
    <row r="539" spans="1:1">
      <c r="A539" s="1"/>
    </row>
    <row r="540" spans="1:1">
      <c r="A540" s="1"/>
    </row>
    <row r="541" spans="1:1">
      <c r="A541" s="1"/>
    </row>
    <row r="542" spans="1:1">
      <c r="A542" s="1"/>
    </row>
    <row r="543" spans="1:1">
      <c r="A543" s="1"/>
    </row>
    <row r="544" spans="1:1">
      <c r="A544" s="1"/>
    </row>
    <row r="545" spans="1:1">
      <c r="A545" s="1"/>
    </row>
    <row r="546" spans="1:1">
      <c r="A546" s="1"/>
    </row>
    <row r="547" spans="1:1">
      <c r="A547" s="1"/>
    </row>
    <row r="548" spans="1:1">
      <c r="A548" s="1"/>
    </row>
    <row r="549" spans="1:1">
      <c r="A549" s="1"/>
    </row>
    <row r="550" spans="1:1">
      <c r="A550" s="1"/>
    </row>
    <row r="551" spans="1:1">
      <c r="A551" s="1"/>
    </row>
    <row r="552" spans="1:1">
      <c r="A552" s="1"/>
    </row>
    <row r="553" spans="1:1">
      <c r="A553" s="1"/>
    </row>
    <row r="554" spans="1:1">
      <c r="A554" s="1"/>
    </row>
    <row r="555" spans="1:1">
      <c r="A555" s="1"/>
    </row>
    <row r="556" spans="1:1">
      <c r="A556" s="1"/>
    </row>
    <row r="557" spans="1:1">
      <c r="A557" s="1"/>
    </row>
    <row r="558" spans="1:1">
      <c r="A558" s="1"/>
    </row>
    <row r="559" spans="1:1">
      <c r="A559" s="1"/>
    </row>
    <row r="560" spans="1:1">
      <c r="A560" s="1"/>
    </row>
    <row r="561" spans="1:1">
      <c r="A561" s="1"/>
    </row>
    <row r="562" spans="1:1">
      <c r="A562" s="1"/>
    </row>
    <row r="563" spans="1:1">
      <c r="A563" s="1"/>
    </row>
    <row r="564" spans="1:1">
      <c r="A564" s="1"/>
    </row>
    <row r="565" spans="1:1">
      <c r="A565" s="1"/>
    </row>
    <row r="566" spans="1:1">
      <c r="A566" s="1"/>
    </row>
    <row r="567" spans="1:1">
      <c r="A567" s="1"/>
    </row>
    <row r="568" spans="1:1">
      <c r="A568" s="1"/>
    </row>
    <row r="569" spans="1:1">
      <c r="A569" s="1"/>
    </row>
    <row r="570" spans="1:1">
      <c r="A570" s="1"/>
    </row>
    <row r="571" spans="1:1">
      <c r="A571" s="1"/>
    </row>
    <row r="572" spans="1:1">
      <c r="A572" s="1"/>
    </row>
    <row r="573" spans="1:1">
      <c r="A573" s="1"/>
    </row>
    <row r="574" spans="1:1">
      <c r="A574" s="1"/>
    </row>
    <row r="575" spans="1:1">
      <c r="A575" s="1"/>
    </row>
    <row r="576" spans="1:1">
      <c r="A576" s="1"/>
    </row>
    <row r="577" spans="1:1">
      <c r="A577" s="1"/>
    </row>
    <row r="578" spans="1:1">
      <c r="A578" s="1"/>
    </row>
    <row r="579" spans="1:1">
      <c r="A579" s="1"/>
    </row>
    <row r="580" spans="1:1">
      <c r="A580" s="1"/>
    </row>
    <row r="581" spans="1:1">
      <c r="A581" s="1"/>
    </row>
    <row r="582" spans="1:1">
      <c r="A582" s="1"/>
    </row>
    <row r="583" spans="1:1">
      <c r="A583" s="1"/>
    </row>
    <row r="584" spans="1:1">
      <c r="A584" s="1"/>
    </row>
    <row r="585" spans="1:1">
      <c r="A585" s="1"/>
    </row>
    <row r="586" spans="1:1">
      <c r="A586" s="1"/>
    </row>
    <row r="587" spans="1:1">
      <c r="A587" s="1"/>
    </row>
    <row r="588" spans="1:1">
      <c r="A588" s="1"/>
    </row>
    <row r="589" spans="1:1">
      <c r="A589" s="1"/>
    </row>
    <row r="590" spans="1:1">
      <c r="A590" s="1"/>
    </row>
    <row r="591" spans="1:1">
      <c r="A591" s="1"/>
    </row>
    <row r="592" spans="1:1">
      <c r="A592" s="1"/>
    </row>
    <row r="593" spans="1:1">
      <c r="A593" s="1"/>
    </row>
    <row r="594" spans="1:1">
      <c r="A594" s="1"/>
    </row>
    <row r="595" spans="1:1">
      <c r="A595" s="1"/>
    </row>
    <row r="596" spans="1:1">
      <c r="A596" s="1"/>
    </row>
    <row r="597" spans="1:1">
      <c r="A597" s="1"/>
    </row>
    <row r="598" spans="1:1">
      <c r="A598" s="1"/>
    </row>
    <row r="599" spans="1:1">
      <c r="A599" s="1"/>
    </row>
    <row r="600" spans="1:1">
      <c r="A600" s="1"/>
    </row>
    <row r="601" spans="1:1">
      <c r="A601" s="1"/>
    </row>
    <row r="602" spans="1:1">
      <c r="A602" s="1"/>
    </row>
    <row r="603" spans="1:1">
      <c r="A603" s="1"/>
    </row>
    <row r="604" spans="1:1">
      <c r="A604" s="1"/>
    </row>
    <row r="605" spans="1:1">
      <c r="A605" s="1"/>
    </row>
    <row r="606" spans="1:1">
      <c r="A606" s="1"/>
    </row>
    <row r="607" spans="1:1">
      <c r="A607" s="1"/>
    </row>
    <row r="608" spans="1:1">
      <c r="A608" s="1"/>
    </row>
    <row r="609" spans="1:1">
      <c r="A609" s="1"/>
    </row>
    <row r="610" spans="1:1">
      <c r="A610" s="1"/>
    </row>
    <row r="611" spans="1:1">
      <c r="A611" s="1"/>
    </row>
    <row r="612" spans="1:1">
      <c r="A612" s="1"/>
    </row>
    <row r="613" spans="1:1">
      <c r="A613" s="1"/>
    </row>
    <row r="614" spans="1:1">
      <c r="A614" s="1"/>
    </row>
    <row r="615" spans="1:1">
      <c r="A615" s="1"/>
    </row>
    <row r="616" spans="1:1">
      <c r="A616" s="1"/>
    </row>
    <row r="617" spans="1:1">
      <c r="A617" s="1"/>
    </row>
    <row r="618" spans="1:1">
      <c r="A618" s="1"/>
    </row>
    <row r="619" spans="1:1">
      <c r="A619" s="1"/>
    </row>
    <row r="620" spans="1:1">
      <c r="A620" s="1"/>
    </row>
    <row r="621" spans="1:1">
      <c r="A621" s="1"/>
    </row>
    <row r="622" spans="1:1">
      <c r="A622" s="1"/>
    </row>
    <row r="623" spans="1:1">
      <c r="A623" s="1"/>
    </row>
    <row r="624" spans="1:1">
      <c r="A624" s="1"/>
    </row>
    <row r="625" spans="1:1">
      <c r="A625" s="1"/>
    </row>
    <row r="626" spans="1:1">
      <c r="A626" s="1"/>
    </row>
    <row r="627" spans="1:1">
      <c r="A627" s="1"/>
    </row>
    <row r="628" spans="1:1">
      <c r="A628" s="1"/>
    </row>
    <row r="629" spans="1:1">
      <c r="A629" s="1"/>
    </row>
    <row r="630" spans="1:1">
      <c r="A630" s="1"/>
    </row>
    <row r="631" spans="1:1">
      <c r="A631" s="1"/>
    </row>
    <row r="632" spans="1:1">
      <c r="A632" s="1"/>
    </row>
    <row r="633" spans="1:1">
      <c r="A633" s="1"/>
    </row>
    <row r="634" spans="1:1">
      <c r="A634" s="1"/>
    </row>
    <row r="635" spans="1:1">
      <c r="A635" s="1"/>
    </row>
    <row r="636" spans="1:1">
      <c r="A636" s="1"/>
    </row>
    <row r="637" spans="1:1">
      <c r="A637" s="1"/>
    </row>
    <row r="638" spans="1:1">
      <c r="A638" s="1"/>
    </row>
    <row r="639" spans="1:1">
      <c r="A639" s="1"/>
    </row>
    <row r="640" spans="1:1">
      <c r="A640" s="1"/>
    </row>
    <row r="641" spans="1:1">
      <c r="A641" s="1"/>
    </row>
    <row r="642" spans="1:1">
      <c r="A642" s="1"/>
    </row>
    <row r="643" spans="1:1">
      <c r="A643" s="1"/>
    </row>
    <row r="644" spans="1:1">
      <c r="A644" s="1"/>
    </row>
    <row r="645" spans="1:1">
      <c r="A645" s="1"/>
    </row>
    <row r="646" spans="1:1">
      <c r="A646" s="1"/>
    </row>
    <row r="647" spans="1:1">
      <c r="A647" s="1"/>
    </row>
    <row r="648" spans="1:1">
      <c r="A648" s="1"/>
    </row>
    <row r="649" spans="1:1">
      <c r="A649" s="1"/>
    </row>
    <row r="650" spans="1:1">
      <c r="A650" s="1"/>
    </row>
    <row r="651" spans="1:1">
      <c r="A651" s="1"/>
    </row>
    <row r="652" spans="1:1">
      <c r="A652" s="1"/>
    </row>
    <row r="653" spans="1:1">
      <c r="A653" s="1"/>
    </row>
    <row r="654" spans="1:1">
      <c r="A654" s="1"/>
    </row>
    <row r="655" spans="1:1">
      <c r="A655" s="1"/>
    </row>
    <row r="656" spans="1:1">
      <c r="A656" s="1"/>
    </row>
    <row r="657" spans="1:1">
      <c r="A657" s="1"/>
    </row>
    <row r="658" spans="1:1">
      <c r="A658" s="1"/>
    </row>
    <row r="659" spans="1:1">
      <c r="A659" s="1"/>
    </row>
    <row r="660" spans="1:1">
      <c r="A660" s="1"/>
    </row>
    <row r="661" spans="1:1">
      <c r="A661" s="1"/>
    </row>
    <row r="662" spans="1:1">
      <c r="A662" s="1"/>
    </row>
    <row r="663" spans="1:1">
      <c r="A663" s="1"/>
    </row>
    <row r="664" spans="1:1">
      <c r="A664" s="1"/>
    </row>
    <row r="665" spans="1:1">
      <c r="A665" s="1"/>
    </row>
    <row r="666" spans="1:1">
      <c r="A666" s="1"/>
    </row>
    <row r="667" spans="1:1">
      <c r="A667" s="1"/>
    </row>
    <row r="668" spans="1:1">
      <c r="A668" s="1"/>
    </row>
    <row r="669" spans="1:1">
      <c r="A669" s="1"/>
    </row>
    <row r="670" spans="1:1">
      <c r="A670" s="1"/>
    </row>
    <row r="671" spans="1:1">
      <c r="A671" s="1"/>
    </row>
    <row r="672" spans="1:1">
      <c r="A672" s="1"/>
    </row>
    <row r="673" spans="1:1">
      <c r="A673" s="1"/>
    </row>
    <row r="674" spans="1:1">
      <c r="A674" s="1"/>
    </row>
    <row r="675" spans="1:1">
      <c r="A675" s="1"/>
    </row>
    <row r="676" spans="1:1">
      <c r="A676" s="1"/>
    </row>
    <row r="677" spans="1:1">
      <c r="A677" s="1"/>
    </row>
    <row r="678" spans="1:1">
      <c r="A678" s="1"/>
    </row>
    <row r="679" spans="1:1">
      <c r="A679" s="1"/>
    </row>
    <row r="680" spans="1:1">
      <c r="A680" s="1"/>
    </row>
    <row r="681" spans="1:1">
      <c r="A681" s="1"/>
    </row>
    <row r="682" spans="1:1">
      <c r="A682" s="1"/>
    </row>
    <row r="683" spans="1:1">
      <c r="A683" s="1"/>
    </row>
    <row r="684" spans="1:1">
      <c r="A684" s="1"/>
    </row>
    <row r="685" spans="1:1">
      <c r="A685" s="1"/>
    </row>
    <row r="686" spans="1:1">
      <c r="A686" s="1"/>
    </row>
    <row r="687" spans="1:1">
      <c r="A687" s="1"/>
    </row>
    <row r="688" spans="1:1">
      <c r="A688" s="1"/>
    </row>
    <row r="689" spans="1:1">
      <c r="A689" s="1"/>
    </row>
    <row r="690" spans="1:1">
      <c r="A690" s="1"/>
    </row>
    <row r="691" spans="1:1">
      <c r="A691" s="1"/>
    </row>
    <row r="692" spans="1:1">
      <c r="A692" s="1"/>
    </row>
    <row r="693" spans="1:1">
      <c r="A693" s="1"/>
    </row>
    <row r="694" spans="1:1">
      <c r="A694" s="1"/>
    </row>
    <row r="695" spans="1:1">
      <c r="A695" s="1"/>
    </row>
    <row r="696" spans="1:1">
      <c r="A696" s="1"/>
    </row>
    <row r="697" spans="1:1">
      <c r="A697" s="1"/>
    </row>
    <row r="698" spans="1:1">
      <c r="A698" s="1"/>
    </row>
    <row r="699" spans="1:1">
      <c r="A699" s="1"/>
    </row>
    <row r="700" spans="1:1">
      <c r="A700" s="1"/>
    </row>
    <row r="701" spans="1:1">
      <c r="A701" s="1"/>
    </row>
    <row r="702" spans="1:1">
      <c r="A702" s="1"/>
    </row>
    <row r="703" spans="1:1">
      <c r="A703" s="1"/>
    </row>
    <row r="704" spans="1:1">
      <c r="A704" s="1"/>
    </row>
    <row r="705" spans="1:1">
      <c r="A705" s="1"/>
    </row>
    <row r="706" spans="1:1">
      <c r="A706" s="1"/>
    </row>
    <row r="707" spans="1:1">
      <c r="A707" s="1"/>
    </row>
    <row r="708" spans="1:1">
      <c r="A708" s="1"/>
    </row>
    <row r="709" spans="1:1">
      <c r="A709" s="1"/>
    </row>
    <row r="710" spans="1:1">
      <c r="A710" s="1"/>
    </row>
    <row r="711" spans="1:1">
      <c r="A711" s="1"/>
    </row>
    <row r="712" spans="1:1">
      <c r="A712" s="1"/>
    </row>
    <row r="713" spans="1:1">
      <c r="A713" s="1"/>
    </row>
    <row r="714" spans="1:1">
      <c r="A714" s="1"/>
    </row>
    <row r="715" spans="1:1">
      <c r="A715" s="1"/>
    </row>
    <row r="716" spans="1:1">
      <c r="A716" s="1"/>
    </row>
    <row r="717" spans="1:1">
      <c r="A717" s="1"/>
    </row>
    <row r="718" spans="1:1">
      <c r="A718" s="1"/>
    </row>
    <row r="719" spans="1:1">
      <c r="A719" s="1"/>
    </row>
    <row r="720" spans="1:1">
      <c r="A720" s="1"/>
    </row>
    <row r="721" spans="1:1">
      <c r="A721" s="1"/>
    </row>
    <row r="722" spans="1:1">
      <c r="A722" s="1"/>
    </row>
    <row r="723" spans="1:1">
      <c r="A723" s="1"/>
    </row>
    <row r="724" spans="1:1">
      <c r="A724" s="1"/>
    </row>
    <row r="725" spans="1:1">
      <c r="A725" s="1"/>
    </row>
    <row r="726" spans="1:1">
      <c r="A726" s="1"/>
    </row>
    <row r="727" spans="1:1">
      <c r="A727" s="1"/>
    </row>
    <row r="728" spans="1:1">
      <c r="A728" s="1"/>
    </row>
    <row r="729" spans="1:1">
      <c r="A729" s="1"/>
    </row>
    <row r="730" spans="1:1">
      <c r="A730" s="1"/>
    </row>
    <row r="731" spans="1:1">
      <c r="A731" s="1"/>
    </row>
    <row r="732" spans="1:1">
      <c r="A732" s="1"/>
    </row>
    <row r="733" spans="1:1">
      <c r="A733" s="1"/>
    </row>
    <row r="734" spans="1:1">
      <c r="A734" s="1"/>
    </row>
    <row r="735" spans="1:1">
      <c r="A735" s="1"/>
    </row>
    <row r="736" spans="1:1">
      <c r="A736" s="1"/>
    </row>
    <row r="737" spans="1:1">
      <c r="A737" s="1"/>
    </row>
    <row r="738" spans="1:1">
      <c r="A738" s="1"/>
    </row>
    <row r="739" spans="1:1">
      <c r="A739" s="1"/>
    </row>
    <row r="740" spans="1:1">
      <c r="A740" s="1"/>
    </row>
    <row r="741" spans="1:1">
      <c r="A741" s="1"/>
    </row>
    <row r="742" spans="1:1">
      <c r="A742" s="1"/>
    </row>
    <row r="743" spans="1:1">
      <c r="A743" s="1"/>
    </row>
    <row r="744" spans="1:1">
      <c r="A744" s="1"/>
    </row>
    <row r="745" spans="1:1">
      <c r="A745" s="1"/>
    </row>
    <row r="746" spans="1:1">
      <c r="A746" s="1"/>
    </row>
    <row r="747" spans="1:1">
      <c r="A747" s="1"/>
    </row>
    <row r="748" spans="1:1">
      <c r="A748" s="1"/>
    </row>
    <row r="749" spans="1:1">
      <c r="A749" s="1"/>
    </row>
    <row r="750" spans="1:1">
      <c r="A750" s="1"/>
    </row>
    <row r="751" spans="1:1">
      <c r="A751" s="1"/>
    </row>
    <row r="752" spans="1:1">
      <c r="A752" s="1"/>
    </row>
    <row r="753" spans="1:1">
      <c r="A753" s="1"/>
    </row>
    <row r="754" spans="1:1">
      <c r="A754" s="1"/>
    </row>
    <row r="755" spans="1:1">
      <c r="A755" s="1"/>
    </row>
    <row r="756" spans="1:1">
      <c r="A756" s="1"/>
    </row>
    <row r="757" spans="1:1">
      <c r="A757" s="1"/>
    </row>
    <row r="758" spans="1:1">
      <c r="A758" s="1"/>
    </row>
    <row r="759" spans="1:1">
      <c r="A759" s="1"/>
    </row>
    <row r="760" spans="1:1">
      <c r="A760" s="1"/>
    </row>
    <row r="761" spans="1:1">
      <c r="A761" s="1"/>
    </row>
    <row r="762" spans="1:1">
      <c r="A762" s="1"/>
    </row>
    <row r="763" spans="1:1">
      <c r="A763" s="1"/>
    </row>
    <row r="764" spans="1:1">
      <c r="A764" s="1"/>
    </row>
    <row r="765" spans="1:1">
      <c r="A765" s="1"/>
    </row>
    <row r="766" spans="1:1">
      <c r="A766" s="1"/>
    </row>
    <row r="767" spans="1:1">
      <c r="A767" s="1"/>
    </row>
    <row r="768" spans="1:1">
      <c r="A768" s="1"/>
    </row>
    <row r="769" spans="1:1">
      <c r="A769" s="1"/>
    </row>
    <row r="770" spans="1:1">
      <c r="A770" s="1"/>
    </row>
    <row r="771" spans="1:1">
      <c r="A771" s="1"/>
    </row>
    <row r="772" spans="1:1">
      <c r="A772" s="1"/>
    </row>
    <row r="773" spans="1:1">
      <c r="A773" s="1"/>
    </row>
    <row r="774" spans="1:1">
      <c r="A774" s="1"/>
    </row>
    <row r="775" spans="1:1">
      <c r="A775" s="1"/>
    </row>
    <row r="776" spans="1:1">
      <c r="A776" s="1"/>
    </row>
    <row r="777" spans="1:1">
      <c r="A777" s="1"/>
    </row>
    <row r="778" spans="1:1">
      <c r="A778" s="1"/>
    </row>
    <row r="779" spans="1:1">
      <c r="A779" s="1"/>
    </row>
    <row r="780" spans="1:1">
      <c r="A780" s="1"/>
    </row>
    <row r="781" spans="1:1">
      <c r="A781" s="1"/>
    </row>
    <row r="782" spans="1:1">
      <c r="A782" s="1"/>
    </row>
    <row r="783" spans="1:1">
      <c r="A783" s="1"/>
    </row>
    <row r="784" spans="1:1">
      <c r="A784" s="1"/>
    </row>
    <row r="785" spans="1:1">
      <c r="A785" s="1"/>
    </row>
    <row r="786" spans="1:1">
      <c r="A786" s="1"/>
    </row>
    <row r="787" spans="1:1">
      <c r="A787" s="1"/>
    </row>
    <row r="788" spans="1:1">
      <c r="A788" s="1"/>
    </row>
    <row r="789" spans="1:1">
      <c r="A789" s="1"/>
    </row>
    <row r="790" spans="1:1">
      <c r="A790" s="1"/>
    </row>
    <row r="791" spans="1:1">
      <c r="A791" s="1"/>
    </row>
    <row r="792" spans="1:1">
      <c r="A792" s="1"/>
    </row>
    <row r="793" spans="1:1">
      <c r="A793" s="1"/>
    </row>
    <row r="794" spans="1:1">
      <c r="A794" s="1"/>
    </row>
    <row r="795" spans="1:1">
      <c r="A795" s="1"/>
    </row>
    <row r="796" spans="1:1">
      <c r="A796" s="1"/>
    </row>
    <row r="797" spans="1:1">
      <c r="A797" s="1"/>
    </row>
    <row r="798" spans="1:1">
      <c r="A798" s="1"/>
    </row>
    <row r="799" spans="1:1">
      <c r="A799" s="1"/>
    </row>
    <row r="800" spans="1:1">
      <c r="A800" s="1"/>
    </row>
    <row r="801" spans="1:1">
      <c r="A801" s="1"/>
    </row>
    <row r="802" spans="1:1">
      <c r="A802" s="1"/>
    </row>
    <row r="803" spans="1:1">
      <c r="A803" s="1"/>
    </row>
    <row r="804" spans="1:1">
      <c r="A804" s="1"/>
    </row>
    <row r="805" spans="1:1">
      <c r="A805" s="1"/>
    </row>
    <row r="806" spans="1:1">
      <c r="A806" s="1"/>
    </row>
    <row r="807" spans="1:1">
      <c r="A807" s="1"/>
    </row>
    <row r="808" spans="1:1">
      <c r="A808" s="1"/>
    </row>
    <row r="809" spans="1:1">
      <c r="A809" s="1"/>
    </row>
    <row r="810" spans="1:1">
      <c r="A810" s="1"/>
    </row>
    <row r="811" spans="1:1">
      <c r="A811" s="1"/>
    </row>
    <row r="812" spans="1:1">
      <c r="A812" s="1"/>
    </row>
    <row r="813" spans="1:1">
      <c r="A813" s="1"/>
    </row>
    <row r="814" spans="1:1">
      <c r="A814" s="1"/>
    </row>
    <row r="815" spans="1:1">
      <c r="A815" s="1"/>
    </row>
    <row r="816" spans="1:1">
      <c r="A816" s="1"/>
    </row>
    <row r="817" spans="1:1">
      <c r="A817" s="1"/>
    </row>
    <row r="818" spans="1:1">
      <c r="A818" s="1"/>
    </row>
    <row r="819" spans="1:1">
      <c r="A819" s="1"/>
    </row>
    <row r="820" spans="1:1">
      <c r="A820" s="1"/>
    </row>
    <row r="821" spans="1:1">
      <c r="A821" s="1"/>
    </row>
    <row r="822" spans="1:1">
      <c r="A822" s="1"/>
    </row>
    <row r="823" spans="1:1">
      <c r="A823" s="1"/>
    </row>
    <row r="824" spans="1:1">
      <c r="A824" s="1"/>
    </row>
    <row r="825" spans="1:1">
      <c r="A825" s="1"/>
    </row>
    <row r="826" spans="1:1">
      <c r="A826" s="1"/>
    </row>
    <row r="827" spans="1:1">
      <c r="A827" s="1"/>
    </row>
    <row r="828" spans="1:1">
      <c r="A828" s="1"/>
    </row>
    <row r="829" spans="1:1">
      <c r="A829" s="1"/>
    </row>
    <row r="830" spans="1:1">
      <c r="A830" s="1"/>
    </row>
    <row r="831" spans="1:1">
      <c r="A831" s="1"/>
    </row>
    <row r="832" spans="1:1">
      <c r="A832" s="1"/>
    </row>
    <row r="833" spans="1:1">
      <c r="A833" s="1"/>
    </row>
    <row r="834" spans="1:1">
      <c r="A834" s="1"/>
    </row>
    <row r="835" spans="1:1">
      <c r="A835" s="1"/>
    </row>
    <row r="836" spans="1:1">
      <c r="A836" s="1"/>
    </row>
    <row r="837" spans="1:1">
      <c r="A837" s="1"/>
    </row>
    <row r="838" spans="1:1">
      <c r="A838" s="1"/>
    </row>
    <row r="839" spans="1:1">
      <c r="A839" s="1"/>
    </row>
    <row r="840" spans="1:1">
      <c r="A840" s="1"/>
    </row>
    <row r="841" spans="1:1">
      <c r="A841" s="1"/>
    </row>
    <row r="842" spans="1:1">
      <c r="A842" s="1"/>
    </row>
    <row r="843" spans="1:1">
      <c r="A843" s="1"/>
    </row>
    <row r="844" spans="1:1">
      <c r="A844" s="1"/>
    </row>
    <row r="845" spans="1:1">
      <c r="A845" s="1"/>
    </row>
    <row r="846" spans="1:1">
      <c r="A846" s="1"/>
    </row>
    <row r="847" spans="1:1">
      <c r="A847" s="1"/>
    </row>
    <row r="848" spans="1:1">
      <c r="A848" s="1"/>
    </row>
    <row r="849" spans="1:1">
      <c r="A849" s="1"/>
    </row>
    <row r="850" spans="1:1">
      <c r="A850" s="1"/>
    </row>
    <row r="851" spans="1:1">
      <c r="A851" s="1"/>
    </row>
    <row r="852" spans="1:1">
      <c r="A852" s="1"/>
    </row>
    <row r="853" spans="1:1">
      <c r="A853" s="1"/>
    </row>
    <row r="854" spans="1:1">
      <c r="A854" s="1"/>
    </row>
    <row r="855" spans="1:1">
      <c r="A855" s="1"/>
    </row>
    <row r="856" spans="1:1">
      <c r="A856" s="1"/>
    </row>
    <row r="857" spans="1:1">
      <c r="A857" s="1"/>
    </row>
    <row r="858" spans="1:1">
      <c r="A858" s="1"/>
    </row>
    <row r="859" spans="1:1">
      <c r="A859" s="1"/>
    </row>
    <row r="860" spans="1:1">
      <c r="A860" s="1"/>
    </row>
    <row r="861" spans="1:1">
      <c r="A861" s="1"/>
    </row>
    <row r="862" spans="1:1">
      <c r="A862" s="1"/>
    </row>
    <row r="863" spans="1:1">
      <c r="A863" s="1"/>
    </row>
    <row r="864" spans="1:1">
      <c r="A864" s="1"/>
    </row>
    <row r="865" spans="1:1">
      <c r="A865" s="1"/>
    </row>
    <row r="866" spans="1:1">
      <c r="A866" s="1"/>
    </row>
    <row r="867" spans="1:1">
      <c r="A867" s="1"/>
    </row>
    <row r="868" spans="1:1">
      <c r="A868" s="1"/>
    </row>
    <row r="869" spans="1:1">
      <c r="A869" s="1"/>
    </row>
    <row r="870" spans="1:1">
      <c r="A870" s="1"/>
    </row>
    <row r="871" spans="1:1">
      <c r="A871" s="1"/>
    </row>
    <row r="872" spans="1:1">
      <c r="A872" s="1"/>
    </row>
    <row r="873" spans="1:1">
      <c r="A873" s="1"/>
    </row>
    <row r="874" spans="1:1">
      <c r="A874" s="1"/>
    </row>
    <row r="875" spans="1:1">
      <c r="A875" s="1"/>
    </row>
    <row r="876" spans="1:1">
      <c r="A876" s="1"/>
    </row>
    <row r="877" spans="1:1">
      <c r="A877" s="1"/>
    </row>
    <row r="878" spans="1:1">
      <c r="A878" s="1"/>
    </row>
    <row r="879" spans="1:1">
      <c r="A879" s="1"/>
    </row>
    <row r="880" spans="1:1">
      <c r="A880" s="1"/>
    </row>
    <row r="881" spans="1:1">
      <c r="A881" s="1"/>
    </row>
    <row r="882" spans="1:1">
      <c r="A882" s="1"/>
    </row>
    <row r="883" spans="1:1">
      <c r="A883" s="1"/>
    </row>
    <row r="884" spans="1:1">
      <c r="A884" s="1"/>
    </row>
    <row r="885" spans="1:1">
      <c r="A885" s="1"/>
    </row>
    <row r="886" spans="1:1">
      <c r="A886" s="1"/>
    </row>
    <row r="887" spans="1:1">
      <c r="A887" s="1"/>
    </row>
    <row r="888" spans="1:1">
      <c r="A888" s="1"/>
    </row>
    <row r="889" spans="1:1">
      <c r="A889" s="1"/>
    </row>
    <row r="890" spans="1:1">
      <c r="A890" s="1"/>
    </row>
    <row r="891" spans="1:1">
      <c r="A891" s="1"/>
    </row>
    <row r="892" spans="1:1">
      <c r="A892" s="1"/>
    </row>
    <row r="893" spans="1:1">
      <c r="A893" s="1"/>
    </row>
    <row r="894" spans="1:1">
      <c r="A894" s="1"/>
    </row>
    <row r="895" spans="1:1">
      <c r="A895" s="1"/>
    </row>
    <row r="896" spans="1:1">
      <c r="A896" s="1"/>
    </row>
    <row r="897" spans="1:1">
      <c r="A897" s="1"/>
    </row>
    <row r="898" spans="1:1">
      <c r="A898" s="1"/>
    </row>
    <row r="899" spans="1:1">
      <c r="A899" s="1"/>
    </row>
    <row r="900" spans="1:1">
      <c r="A900" s="1"/>
    </row>
    <row r="901" spans="1:1">
      <c r="A901" s="1"/>
    </row>
    <row r="902" spans="1:1">
      <c r="A902" s="1"/>
    </row>
    <row r="903" spans="1:1">
      <c r="A903" s="1"/>
    </row>
    <row r="904" spans="1:1">
      <c r="A904" s="1"/>
    </row>
    <row r="905" spans="1:1">
      <c r="A905" s="1"/>
    </row>
    <row r="906" spans="1:1">
      <c r="A906" s="1"/>
    </row>
    <row r="907" spans="1:1">
      <c r="A907" s="1"/>
    </row>
    <row r="908" spans="1:1">
      <c r="A908" s="1"/>
    </row>
    <row r="909" spans="1:1">
      <c r="A909" s="1"/>
    </row>
    <row r="910" spans="1:1">
      <c r="A910" s="1"/>
    </row>
    <row r="911" spans="1:1">
      <c r="A911" s="1"/>
    </row>
    <row r="912" spans="1:1">
      <c r="A912" s="1"/>
    </row>
    <row r="913" spans="1:1">
      <c r="A913" s="1"/>
    </row>
    <row r="914" spans="1:1">
      <c r="A914" s="1"/>
    </row>
    <row r="915" spans="1:1">
      <c r="A915" s="1"/>
    </row>
    <row r="916" spans="1:1">
      <c r="A916" s="1"/>
    </row>
    <row r="917" spans="1:1">
      <c r="A917" s="1"/>
    </row>
    <row r="918" spans="1:1">
      <c r="A918" s="1"/>
    </row>
    <row r="919" spans="1:1">
      <c r="A919" s="1"/>
    </row>
    <row r="920" spans="1:1">
      <c r="A920" s="1"/>
    </row>
    <row r="921" spans="1:1">
      <c r="A921" s="1"/>
    </row>
    <row r="922" spans="1:1">
      <c r="A922" s="1"/>
    </row>
    <row r="923" spans="1:1">
      <c r="A923" s="1"/>
    </row>
    <row r="924" spans="1:1">
      <c r="A924" s="1"/>
    </row>
    <row r="925" spans="1:1">
      <c r="A925" s="1"/>
    </row>
    <row r="926" spans="1:1">
      <c r="A926" s="1"/>
    </row>
    <row r="927" spans="1:1">
      <c r="A927" s="1"/>
    </row>
    <row r="928" spans="1:1">
      <c r="A928" s="1"/>
    </row>
    <row r="929" spans="1:1">
      <c r="A929" s="1"/>
    </row>
    <row r="930" spans="1:1">
      <c r="A930" s="1"/>
    </row>
    <row r="931" spans="1:1">
      <c r="A931" s="1"/>
    </row>
    <row r="932" spans="1:1">
      <c r="A932" s="1"/>
    </row>
    <row r="933" spans="1:1">
      <c r="A933" s="1"/>
    </row>
    <row r="934" spans="1:1">
      <c r="A934" s="1"/>
    </row>
    <row r="935" spans="1:1">
      <c r="A935" s="1"/>
    </row>
    <row r="936" spans="1:1">
      <c r="A936" s="1"/>
    </row>
    <row r="937" spans="1:1">
      <c r="A937" s="1"/>
    </row>
    <row r="938" spans="1:1">
      <c r="A938" s="1"/>
    </row>
    <row r="939" spans="1:1">
      <c r="A939" s="1"/>
    </row>
    <row r="940" spans="1:1">
      <c r="A940" s="1"/>
    </row>
    <row r="941" spans="1:1">
      <c r="A941" s="1"/>
    </row>
    <row r="942" spans="1:1">
      <c r="A942" s="1"/>
    </row>
    <row r="943" spans="1:1">
      <c r="A943" s="1"/>
    </row>
    <row r="944" spans="1:1">
      <c r="A944" s="1"/>
    </row>
    <row r="945" spans="1:1">
      <c r="A945" s="1"/>
    </row>
    <row r="946" spans="1:1">
      <c r="A946" s="1"/>
    </row>
    <row r="947" spans="1:1">
      <c r="A947" s="1"/>
    </row>
    <row r="948" spans="1:1">
      <c r="A948" s="1"/>
    </row>
    <row r="949" spans="1:1">
      <c r="A949" s="1"/>
    </row>
    <row r="950" spans="1:1">
      <c r="A950" s="1"/>
    </row>
    <row r="951" spans="1:1">
      <c r="A951" s="1"/>
    </row>
    <row r="952" spans="1:1">
      <c r="A952" s="1"/>
    </row>
    <row r="953" spans="1:1">
      <c r="A953" s="1"/>
    </row>
    <row r="954" spans="1:1">
      <c r="A954" s="1"/>
    </row>
    <row r="955" spans="1:1">
      <c r="A955" s="1"/>
    </row>
    <row r="956" spans="1:1">
      <c r="A956" s="1"/>
    </row>
    <row r="957" spans="1:1">
      <c r="A957" s="1"/>
    </row>
    <row r="958" spans="1:1">
      <c r="A958" s="1"/>
    </row>
    <row r="959" spans="1:1">
      <c r="A959" s="1"/>
    </row>
    <row r="960" spans="1:1">
      <c r="A960" s="1"/>
    </row>
    <row r="961" spans="1:1">
      <c r="A961" s="1"/>
    </row>
    <row r="962" spans="1:1">
      <c r="A962" s="1"/>
    </row>
    <row r="963" spans="1:1">
      <c r="A963" s="1"/>
    </row>
    <row r="964" spans="1:1">
      <c r="A964" s="1"/>
    </row>
    <row r="965" spans="1:1">
      <c r="A965" s="1"/>
    </row>
    <row r="966" spans="1:1">
      <c r="A966" s="1"/>
    </row>
    <row r="967" spans="1:1">
      <c r="A967" s="1"/>
    </row>
    <row r="968" spans="1:1">
      <c r="A968" s="1"/>
    </row>
    <row r="969" spans="1:1">
      <c r="A969" s="1"/>
    </row>
    <row r="970" spans="1:1">
      <c r="A970" s="1"/>
    </row>
    <row r="971" spans="1:1">
      <c r="A971" s="1"/>
    </row>
    <row r="972" spans="1:1">
      <c r="A972" s="1"/>
    </row>
    <row r="973" spans="1:1">
      <c r="A973" s="1"/>
    </row>
    <row r="974" spans="1:1">
      <c r="A974" s="1"/>
    </row>
    <row r="975" spans="1:1">
      <c r="A975" s="1"/>
    </row>
    <row r="976" spans="1:1">
      <c r="A976" s="1"/>
    </row>
    <row r="977" spans="1:1">
      <c r="A977" s="1"/>
    </row>
    <row r="978" spans="1:1">
      <c r="A978" s="1"/>
    </row>
    <row r="979" spans="1:1">
      <c r="A979" s="1"/>
    </row>
    <row r="980" spans="1:1">
      <c r="A980" s="1"/>
    </row>
    <row r="981" spans="1:1">
      <c r="A981" s="1"/>
    </row>
    <row r="982" spans="1:1">
      <c r="A982" s="1"/>
    </row>
    <row r="983" spans="1:1">
      <c r="A983" s="1"/>
    </row>
    <row r="984" spans="1:1">
      <c r="A984" s="1"/>
    </row>
    <row r="985" spans="1:1">
      <c r="A985" s="1"/>
    </row>
    <row r="986" spans="1:1">
      <c r="A986" s="1"/>
    </row>
    <row r="987" spans="1:1">
      <c r="A987" s="1"/>
    </row>
    <row r="988" spans="1:1">
      <c r="A988" s="1"/>
    </row>
    <row r="989" spans="1:1">
      <c r="A989" s="1"/>
    </row>
    <row r="990" spans="1:1">
      <c r="A990" s="1"/>
    </row>
    <row r="991" spans="1:1">
      <c r="A991" s="1"/>
    </row>
    <row r="992" spans="1:1">
      <c r="A992" s="1"/>
    </row>
    <row r="993" spans="1:1">
      <c r="A993" s="1"/>
    </row>
    <row r="994" spans="1:1">
      <c r="A994" s="1"/>
    </row>
    <row r="995" spans="1:1">
      <c r="A995" s="1"/>
    </row>
    <row r="996" spans="1:1">
      <c r="A996" s="1"/>
    </row>
    <row r="997" spans="1:1">
      <c r="A997" s="1"/>
    </row>
    <row r="998" spans="1:1">
      <c r="A998" s="1"/>
    </row>
    <row r="999" spans="1:1">
      <c r="A999" s="1"/>
    </row>
    <row r="1000" spans="1:1">
      <c r="A1000" s="1"/>
    </row>
    <row r="1001" spans="1:1">
      <c r="A1001" s="1"/>
    </row>
    <row r="1002" spans="1:1">
      <c r="A1002" s="1"/>
    </row>
    <row r="1003" spans="1:1">
      <c r="A1003" s="1"/>
    </row>
    <row r="1004" spans="1:1">
      <c r="A1004" s="1"/>
    </row>
  </sheetData>
  <mergeCells count="7">
    <mergeCell ref="B170:C170"/>
    <mergeCell ref="B182:C182"/>
    <mergeCell ref="D2:E2"/>
    <mergeCell ref="D8:E8"/>
    <mergeCell ref="B9:C9"/>
    <mergeCell ref="B10:C10"/>
    <mergeCell ref="B168:C168"/>
  </mergeCells>
  <pageMargins left="0.7" right="0.7" top="0.75" bottom="0.75" header="0" footer="0"/>
  <pageSetup orientation="landscape" r:id="rId1"/>
  <ignoredErrors>
    <ignoredError sqref="D17:D112 D114:D182" formula="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1000"/>
  <sheetViews>
    <sheetView workbookViewId="0"/>
  </sheetViews>
  <sheetFormatPr defaultColWidth="16.85546875" defaultRowHeight="15" customHeight="1"/>
  <cols>
    <col min="1" max="1" width="4.7109375" customWidth="1"/>
    <col min="2" max="2" width="26.7109375" customWidth="1"/>
    <col min="3" max="3" width="23.42578125" customWidth="1"/>
    <col min="4" max="4" width="17" customWidth="1"/>
    <col min="5" max="5" width="3.85546875" customWidth="1"/>
    <col min="6" max="6" width="13.85546875" customWidth="1"/>
    <col min="7" max="7" width="3.85546875" customWidth="1"/>
    <col min="8" max="8" width="18.85546875" customWidth="1"/>
    <col min="9" max="9" width="3.85546875" customWidth="1"/>
    <col min="10" max="10" width="10.7109375" customWidth="1"/>
    <col min="11" max="11" width="3.85546875" customWidth="1"/>
    <col min="12" max="12" width="11.42578125" customWidth="1"/>
    <col min="13" max="13" width="3.85546875" customWidth="1"/>
    <col min="14" max="14" width="10.28515625" customWidth="1"/>
    <col min="15" max="26" width="8" customWidth="1"/>
  </cols>
  <sheetData>
    <row r="1" spans="1:26" ht="33" customHeight="1">
      <c r="A1" s="17" t="s">
        <v>1093</v>
      </c>
      <c r="B1" s="171"/>
      <c r="D1" s="13"/>
      <c r="G1" s="14"/>
      <c r="H1" s="14"/>
    </row>
    <row r="2" spans="1:26" ht="206.25" customHeight="1">
      <c r="A2" s="12"/>
      <c r="B2" s="1178"/>
      <c r="C2" s="1179"/>
    </row>
    <row r="3" spans="1:26" ht="18.75" customHeight="1">
      <c r="A3" s="46"/>
      <c r="B3" s="349" t="s">
        <v>1094</v>
      </c>
      <c r="C3" s="46"/>
      <c r="D3" s="46"/>
      <c r="E3" s="46"/>
      <c r="F3" s="46"/>
      <c r="G3" s="46"/>
      <c r="H3" s="46"/>
      <c r="I3" s="46"/>
      <c r="J3" s="46"/>
      <c r="K3" s="46"/>
      <c r="L3" s="46"/>
      <c r="M3" s="46"/>
      <c r="N3" s="46"/>
      <c r="O3" s="46"/>
      <c r="P3" s="46"/>
      <c r="Q3" s="46"/>
      <c r="R3" s="46"/>
      <c r="S3" s="46"/>
      <c r="T3" s="46"/>
      <c r="U3" s="46"/>
      <c r="V3" s="46"/>
      <c r="W3" s="46"/>
      <c r="X3" s="46"/>
      <c r="Y3" s="46"/>
      <c r="Z3" s="46"/>
    </row>
    <row r="4" spans="1:26" ht="45.75" customHeight="1">
      <c r="A4" s="1180"/>
      <c r="B4" s="1181" t="s">
        <v>1095</v>
      </c>
      <c r="C4" s="1182" t="s">
        <v>1096</v>
      </c>
      <c r="D4" s="1183" t="s">
        <v>1097</v>
      </c>
      <c r="E4" s="1182"/>
      <c r="F4" s="1183" t="s">
        <v>1098</v>
      </c>
      <c r="G4" s="1182"/>
      <c r="H4" s="1183" t="s">
        <v>1099</v>
      </c>
      <c r="I4" s="97"/>
      <c r="J4" s="1183" t="s">
        <v>1100</v>
      </c>
      <c r="K4" s="97"/>
      <c r="L4" s="1183" t="s">
        <v>1101</v>
      </c>
      <c r="M4" s="46"/>
      <c r="N4" s="1183" t="s">
        <v>1102</v>
      </c>
      <c r="O4" s="46"/>
      <c r="P4" s="46"/>
      <c r="Q4" s="46"/>
      <c r="R4" s="46"/>
      <c r="S4" s="46"/>
      <c r="T4" s="46"/>
      <c r="U4" s="46"/>
      <c r="V4" s="46"/>
      <c r="W4" s="46"/>
      <c r="X4" s="46"/>
      <c r="Y4" s="46"/>
      <c r="Z4" s="46"/>
    </row>
    <row r="5" spans="1:26" ht="12.75" customHeight="1">
      <c r="A5" s="1180"/>
      <c r="B5" s="1184" t="s">
        <v>1103</v>
      </c>
      <c r="C5" s="1185"/>
      <c r="D5" s="1186"/>
      <c r="E5" s="1187"/>
      <c r="F5" s="46"/>
      <c r="G5" s="46"/>
      <c r="H5" s="46"/>
      <c r="I5" s="46"/>
      <c r="J5" s="1188"/>
      <c r="K5" s="46"/>
      <c r="L5" s="46"/>
      <c r="M5" s="46"/>
      <c r="N5" s="46"/>
      <c r="O5" s="46"/>
      <c r="P5" s="46"/>
      <c r="Q5" s="46"/>
      <c r="R5" s="46"/>
      <c r="S5" s="46"/>
      <c r="T5" s="46"/>
      <c r="U5" s="46"/>
      <c r="V5" s="46"/>
      <c r="W5" s="46"/>
      <c r="X5" s="46"/>
      <c r="Y5" s="46"/>
      <c r="Z5" s="46"/>
    </row>
    <row r="6" spans="1:26" ht="12.75" customHeight="1">
      <c r="A6" s="1180"/>
      <c r="B6" s="1189" t="s">
        <v>1104</v>
      </c>
      <c r="C6" s="1184"/>
      <c r="D6" s="1190">
        <v>0</v>
      </c>
      <c r="E6" s="1187" t="s">
        <v>852</v>
      </c>
      <c r="F6" s="1190">
        <v>0</v>
      </c>
      <c r="G6" s="1191" t="s">
        <v>1105</v>
      </c>
      <c r="H6" s="1190">
        <v>0</v>
      </c>
      <c r="I6" s="1187" t="s">
        <v>58</v>
      </c>
      <c r="J6" s="1192">
        <f>D6+F6-H6</f>
        <v>0</v>
      </c>
      <c r="K6" s="1187" t="s">
        <v>58</v>
      </c>
      <c r="L6" s="1193">
        <f>J6*1000000*0.0000192</f>
        <v>0</v>
      </c>
      <c r="M6" s="1187" t="s">
        <v>58</v>
      </c>
      <c r="N6" s="1193">
        <f>(L6*$Q$9)</f>
        <v>0</v>
      </c>
      <c r="O6" s="46"/>
      <c r="P6" s="1663" t="s">
        <v>1</v>
      </c>
      <c r="Q6" s="1664"/>
      <c r="R6" s="46"/>
      <c r="S6" s="46"/>
      <c r="T6" s="46"/>
      <c r="U6" s="46"/>
      <c r="V6" s="46"/>
      <c r="W6" s="46"/>
      <c r="X6" s="46"/>
      <c r="Y6" s="46"/>
      <c r="Z6" s="46"/>
    </row>
    <row r="7" spans="1:26" ht="12.75" customHeight="1">
      <c r="A7" s="1180"/>
      <c r="B7" s="1184"/>
      <c r="C7" s="1184"/>
      <c r="D7" s="1194"/>
      <c r="E7" s="1187"/>
      <c r="F7" s="1186"/>
      <c r="G7" s="1187"/>
      <c r="H7" s="1195"/>
      <c r="I7" s="1187"/>
      <c r="J7" s="1196"/>
      <c r="K7" s="1187"/>
      <c r="L7" s="1197"/>
      <c r="M7" s="1187"/>
      <c r="N7" s="1197"/>
      <c r="O7" s="46"/>
      <c r="P7" s="25"/>
      <c r="Q7" s="25"/>
      <c r="R7" s="46"/>
      <c r="S7" s="46"/>
      <c r="T7" s="46"/>
      <c r="U7" s="46"/>
      <c r="V7" s="46"/>
      <c r="W7" s="46"/>
      <c r="X7" s="46"/>
      <c r="Y7" s="46"/>
      <c r="Z7" s="46"/>
    </row>
    <row r="8" spans="1:26" ht="27.75" customHeight="1">
      <c r="A8" s="1180"/>
      <c r="B8" s="1198"/>
      <c r="C8" s="1198"/>
      <c r="D8" s="1199" t="s">
        <v>1106</v>
      </c>
      <c r="E8" s="1187"/>
      <c r="F8" s="1183" t="s">
        <v>1107</v>
      </c>
      <c r="G8" s="1187"/>
      <c r="H8" s="1183" t="s">
        <v>1108</v>
      </c>
      <c r="I8" s="1187"/>
      <c r="J8" s="1183" t="s">
        <v>1109</v>
      </c>
      <c r="K8" s="46"/>
      <c r="L8" s="1183" t="s">
        <v>1110</v>
      </c>
      <c r="M8" s="1187"/>
      <c r="N8" s="1197"/>
      <c r="O8" s="46"/>
      <c r="P8" s="26" t="s">
        <v>60</v>
      </c>
      <c r="Q8" s="27">
        <f>Summary!$E4</f>
        <v>1</v>
      </c>
      <c r="R8" s="46"/>
      <c r="S8" s="46"/>
      <c r="T8" s="46"/>
      <c r="U8" s="46"/>
      <c r="V8" s="46"/>
      <c r="W8" s="46"/>
      <c r="X8" s="46"/>
      <c r="Y8" s="46"/>
      <c r="Z8" s="46"/>
    </row>
    <row r="9" spans="1:26" ht="12.75" customHeight="1">
      <c r="A9" s="1180"/>
      <c r="B9" s="1189" t="s">
        <v>1111</v>
      </c>
      <c r="C9" s="1198" t="s">
        <v>1112</v>
      </c>
      <c r="D9" s="1190">
        <v>2228</v>
      </c>
      <c r="E9" s="1187" t="s">
        <v>57</v>
      </c>
      <c r="F9" s="1200">
        <v>119</v>
      </c>
      <c r="G9" s="1187" t="s">
        <v>58</v>
      </c>
      <c r="H9" s="1193">
        <f>D9*F9</f>
        <v>265132</v>
      </c>
      <c r="I9" s="1187" t="s">
        <v>58</v>
      </c>
      <c r="J9" s="1193">
        <v>5090.5343999999996</v>
      </c>
      <c r="K9" s="1187" t="s">
        <v>58</v>
      </c>
      <c r="L9" s="1193">
        <f>(J9*$Q$9)</f>
        <v>142534.9632</v>
      </c>
      <c r="M9" s="1187"/>
      <c r="N9" s="1197"/>
      <c r="O9" s="46"/>
      <c r="P9" s="26" t="s">
        <v>62</v>
      </c>
      <c r="Q9" s="27">
        <f>Summary!$E5</f>
        <v>28</v>
      </c>
      <c r="R9" s="46"/>
      <c r="S9" s="46"/>
      <c r="T9" s="46"/>
      <c r="U9" s="46"/>
      <c r="V9" s="46"/>
      <c r="W9" s="46"/>
      <c r="X9" s="46"/>
      <c r="Y9" s="46"/>
      <c r="Z9" s="46"/>
    </row>
    <row r="10" spans="1:26" ht="12.75" customHeight="1">
      <c r="A10" s="1180"/>
      <c r="B10" s="1184"/>
      <c r="C10" s="1198" t="s">
        <v>1113</v>
      </c>
      <c r="D10" s="1201">
        <v>0</v>
      </c>
      <c r="E10" s="1187" t="s">
        <v>57</v>
      </c>
      <c r="F10" s="1200">
        <v>0</v>
      </c>
      <c r="G10" s="1187" t="s">
        <v>58</v>
      </c>
      <c r="H10" s="1202" t="s">
        <v>1105</v>
      </c>
      <c r="I10" s="1187" t="s">
        <v>58</v>
      </c>
      <c r="J10" s="1202" t="s">
        <v>1105</v>
      </c>
      <c r="K10" s="1203" t="s">
        <v>58</v>
      </c>
      <c r="L10" s="1202" t="s">
        <v>1105</v>
      </c>
      <c r="M10" s="1187"/>
      <c r="N10" s="1197"/>
      <c r="O10" s="46"/>
      <c r="P10" s="26" t="s">
        <v>63</v>
      </c>
      <c r="Q10" s="27">
        <f>Summary!$E6</f>
        <v>265</v>
      </c>
      <c r="R10" s="46"/>
      <c r="S10" s="46"/>
      <c r="T10" s="46"/>
      <c r="U10" s="46"/>
      <c r="V10" s="46"/>
      <c r="W10" s="46"/>
      <c r="X10" s="46"/>
      <c r="Y10" s="46"/>
      <c r="Z10" s="46"/>
    </row>
    <row r="11" spans="1:26" ht="12.75" customHeight="1">
      <c r="A11" s="1180"/>
      <c r="B11" s="46"/>
      <c r="C11" s="46"/>
      <c r="D11" s="1186"/>
      <c r="E11" s="46"/>
      <c r="F11" s="1204"/>
      <c r="G11" s="46"/>
      <c r="H11" s="46"/>
      <c r="I11" s="46"/>
      <c r="J11" s="46"/>
      <c r="K11" s="46"/>
      <c r="L11" s="46"/>
      <c r="M11" s="46"/>
      <c r="N11" s="46"/>
      <c r="O11" s="46"/>
      <c r="P11" s="26" t="s">
        <v>65</v>
      </c>
      <c r="Q11" s="29">
        <f>Summary!$E7</f>
        <v>23500</v>
      </c>
      <c r="R11" s="46"/>
      <c r="S11" s="46"/>
      <c r="T11" s="46"/>
      <c r="U11" s="46"/>
      <c r="V11" s="46"/>
      <c r="W11" s="46"/>
      <c r="X11" s="46"/>
      <c r="Y11" s="46"/>
      <c r="Z11" s="46"/>
    </row>
    <row r="12" spans="1:26" ht="27.75" customHeight="1">
      <c r="A12" s="1180"/>
      <c r="B12" s="1184" t="s">
        <v>1114</v>
      </c>
      <c r="C12" s="1185"/>
      <c r="D12" s="1205" t="s">
        <v>1115</v>
      </c>
      <c r="E12" s="1187"/>
      <c r="F12" s="1206" t="s">
        <v>1116</v>
      </c>
      <c r="G12" s="1187"/>
      <c r="H12" s="1207" t="s">
        <v>1117</v>
      </c>
      <c r="I12" s="46"/>
      <c r="J12" s="1183" t="s">
        <v>1118</v>
      </c>
      <c r="K12" s="46"/>
      <c r="L12" s="1183" t="s">
        <v>1119</v>
      </c>
      <c r="M12" s="46"/>
      <c r="N12" s="1183"/>
      <c r="O12" s="46"/>
      <c r="P12" s="26"/>
      <c r="Q12" s="29"/>
      <c r="R12" s="46"/>
      <c r="S12" s="46"/>
      <c r="T12" s="46"/>
      <c r="U12" s="46"/>
      <c r="V12" s="46"/>
      <c r="W12" s="46"/>
      <c r="X12" s="46"/>
      <c r="Y12" s="46"/>
      <c r="Z12" s="46"/>
    </row>
    <row r="13" spans="1:26" ht="12.75" customHeight="1">
      <c r="A13" s="1180"/>
      <c r="B13" s="1189" t="s">
        <v>1104</v>
      </c>
      <c r="C13" s="1198" t="s">
        <v>1112</v>
      </c>
      <c r="D13" s="1190">
        <v>0</v>
      </c>
      <c r="E13" s="1187" t="s">
        <v>57</v>
      </c>
      <c r="F13" s="1208">
        <v>44.98</v>
      </c>
      <c r="G13" s="1187" t="s">
        <v>58</v>
      </c>
      <c r="H13" s="1193">
        <f>D13*F13</f>
        <v>0</v>
      </c>
      <c r="I13" s="1187" t="s">
        <v>58</v>
      </c>
      <c r="J13" s="1193">
        <f>H13*0.0000192*1000</f>
        <v>0</v>
      </c>
      <c r="K13" s="1203" t="s">
        <v>58</v>
      </c>
      <c r="L13" s="1193">
        <f>(J13*$Q$9)</f>
        <v>0</v>
      </c>
      <c r="M13" s="1187"/>
      <c r="N13" s="1197"/>
      <c r="O13" s="46"/>
      <c r="P13" s="46"/>
      <c r="Q13" s="46"/>
      <c r="R13" s="46"/>
      <c r="S13" s="46"/>
      <c r="T13" s="46"/>
      <c r="U13" s="46"/>
      <c r="V13" s="46"/>
      <c r="W13" s="46"/>
      <c r="X13" s="46"/>
      <c r="Y13" s="46"/>
      <c r="Z13" s="46"/>
    </row>
    <row r="14" spans="1:26" ht="12.75" customHeight="1">
      <c r="A14" s="1180"/>
      <c r="B14" s="1184"/>
      <c r="C14" s="1198" t="s">
        <v>1113</v>
      </c>
      <c r="D14" s="1190">
        <v>0</v>
      </c>
      <c r="E14" s="1187" t="s">
        <v>57</v>
      </c>
      <c r="F14" s="1208">
        <v>0</v>
      </c>
      <c r="G14" s="1187" t="s">
        <v>58</v>
      </c>
      <c r="H14" s="1202" t="s">
        <v>1105</v>
      </c>
      <c r="I14" s="1187" t="s">
        <v>58</v>
      </c>
      <c r="J14" s="1202" t="s">
        <v>1105</v>
      </c>
      <c r="K14" s="1203" t="s">
        <v>58</v>
      </c>
      <c r="L14" s="1202" t="s">
        <v>1105</v>
      </c>
      <c r="M14" s="1187"/>
      <c r="N14" s="1197"/>
      <c r="O14" s="46"/>
      <c r="P14" s="46"/>
      <c r="Q14" s="46"/>
      <c r="R14" s="46"/>
      <c r="S14" s="46"/>
      <c r="T14" s="46"/>
      <c r="U14" s="46"/>
      <c r="V14" s="46"/>
      <c r="W14" s="46"/>
      <c r="X14" s="46"/>
      <c r="Y14" s="46"/>
      <c r="Z14" s="46"/>
    </row>
    <row r="15" spans="1:26" ht="12.75" customHeight="1">
      <c r="A15" s="1180"/>
      <c r="B15" s="1189" t="s">
        <v>1111</v>
      </c>
      <c r="C15" s="1198" t="s">
        <v>1112</v>
      </c>
      <c r="D15" s="1190">
        <v>2228</v>
      </c>
      <c r="E15" s="1187" t="s">
        <v>57</v>
      </c>
      <c r="F15" s="1208">
        <v>19.337499999999999</v>
      </c>
      <c r="G15" s="1187" t="s">
        <v>58</v>
      </c>
      <c r="H15" s="1193">
        <f>D15*F15</f>
        <v>43083.95</v>
      </c>
      <c r="I15" s="1187" t="s">
        <v>58</v>
      </c>
      <c r="J15" s="1193">
        <f>H15*0.0000192*1000</f>
        <v>827.21183999999994</v>
      </c>
      <c r="K15" s="1203" t="s">
        <v>58</v>
      </c>
      <c r="L15" s="1193">
        <f>(J15*$Q$9)</f>
        <v>23161.931519999998</v>
      </c>
      <c r="M15" s="1187"/>
      <c r="N15" s="1197"/>
      <c r="O15" s="46"/>
      <c r="P15" s="46"/>
      <c r="Q15" s="46"/>
      <c r="R15" s="46"/>
      <c r="S15" s="46"/>
      <c r="T15" s="46"/>
      <c r="U15" s="46"/>
      <c r="V15" s="46"/>
      <c r="W15" s="46"/>
      <c r="X15" s="46"/>
      <c r="Y15" s="46"/>
      <c r="Z15" s="46"/>
    </row>
    <row r="16" spans="1:26" ht="12.75" customHeight="1">
      <c r="A16" s="1180"/>
      <c r="B16" s="1184"/>
      <c r="C16" s="1198" t="s">
        <v>1113</v>
      </c>
      <c r="D16" s="1190">
        <v>0</v>
      </c>
      <c r="E16" s="1187" t="s">
        <v>57</v>
      </c>
      <c r="F16" s="1208">
        <v>0</v>
      </c>
      <c r="G16" s="1187" t="s">
        <v>58</v>
      </c>
      <c r="H16" s="1202" t="s">
        <v>1113</v>
      </c>
      <c r="I16" s="1187" t="s">
        <v>58</v>
      </c>
      <c r="J16" s="1202" t="s">
        <v>1113</v>
      </c>
      <c r="K16" s="1203" t="s">
        <v>58</v>
      </c>
      <c r="L16" s="1202" t="s">
        <v>1113</v>
      </c>
      <c r="M16" s="1187"/>
      <c r="N16" s="1197"/>
      <c r="O16" s="46"/>
      <c r="P16" s="46"/>
      <c r="Q16" s="46"/>
      <c r="R16" s="46"/>
      <c r="S16" s="46"/>
      <c r="T16" s="46"/>
      <c r="U16" s="46"/>
      <c r="V16" s="46"/>
      <c r="W16" s="46"/>
      <c r="X16" s="46"/>
      <c r="Y16" s="46"/>
      <c r="Z16" s="46"/>
    </row>
    <row r="17" spans="1:26" ht="12.75" customHeight="1">
      <c r="A17" s="1180"/>
      <c r="B17" s="1189" t="s">
        <v>1120</v>
      </c>
      <c r="C17" s="1198"/>
      <c r="D17" s="1184"/>
      <c r="E17" s="1187"/>
      <c r="F17" s="1186"/>
      <c r="G17" s="1187"/>
      <c r="H17" s="1193">
        <f>SUM(H13:H16)</f>
        <v>43083.95</v>
      </c>
      <c r="I17" s="1187" t="s">
        <v>58</v>
      </c>
      <c r="J17" s="1209">
        <f>SUM(J13:J16)</f>
        <v>827.21183999999994</v>
      </c>
      <c r="K17" s="1203" t="s">
        <v>58</v>
      </c>
      <c r="L17" s="1209">
        <f>SUM(L13:L16)</f>
        <v>23161.931519999998</v>
      </c>
      <c r="M17" s="46"/>
      <c r="N17" s="46"/>
      <c r="O17" s="46"/>
      <c r="P17" s="46"/>
      <c r="Q17" s="46"/>
      <c r="R17" s="46"/>
      <c r="S17" s="46"/>
      <c r="T17" s="46"/>
      <c r="U17" s="46"/>
      <c r="V17" s="46"/>
      <c r="W17" s="46"/>
      <c r="X17" s="46"/>
      <c r="Y17" s="46"/>
      <c r="Z17" s="46"/>
    </row>
    <row r="18" spans="1:26" ht="12.75" customHeight="1">
      <c r="A18" s="1180"/>
      <c r="B18" s="46"/>
      <c r="C18" s="46"/>
      <c r="D18" s="1186"/>
      <c r="E18" s="46"/>
      <c r="F18" s="46"/>
      <c r="G18" s="46"/>
      <c r="H18" s="46"/>
      <c r="I18" s="46"/>
      <c r="J18" s="46"/>
      <c r="K18" s="46"/>
      <c r="L18" s="46"/>
      <c r="M18" s="46"/>
      <c r="N18" s="46"/>
      <c r="O18" s="46"/>
      <c r="P18" s="46"/>
      <c r="Q18" s="46"/>
      <c r="R18" s="46"/>
      <c r="S18" s="46"/>
      <c r="T18" s="46"/>
      <c r="U18" s="46"/>
      <c r="V18" s="46"/>
      <c r="W18" s="46"/>
      <c r="X18" s="46"/>
      <c r="Y18" s="46"/>
      <c r="Z18" s="46"/>
    </row>
    <row r="19" spans="1:26" ht="13.5" customHeight="1">
      <c r="A19" s="1180"/>
      <c r="B19" s="1185" t="s">
        <v>1121</v>
      </c>
      <c r="C19" s="1210" t="s">
        <v>1122</v>
      </c>
      <c r="D19" s="1211">
        <f>SUM(D20:D22)</f>
        <v>165696.89471999998</v>
      </c>
      <c r="E19" s="46"/>
      <c r="F19" s="1031"/>
      <c r="G19" s="46"/>
      <c r="H19" s="46"/>
      <c r="I19" s="46"/>
      <c r="J19" s="46"/>
      <c r="K19" s="46"/>
      <c r="L19" s="46"/>
      <c r="M19" s="46"/>
      <c r="N19" s="46"/>
      <c r="O19" s="46"/>
      <c r="P19" s="46"/>
      <c r="Q19" s="46"/>
      <c r="R19" s="46"/>
      <c r="S19" s="46"/>
      <c r="T19" s="46"/>
      <c r="U19" s="46"/>
      <c r="V19" s="46"/>
      <c r="W19" s="46"/>
      <c r="X19" s="46"/>
      <c r="Y19" s="46"/>
      <c r="Z19" s="46"/>
    </row>
    <row r="20" spans="1:26" ht="13.5" customHeight="1">
      <c r="A20" s="1180"/>
      <c r="B20" s="46"/>
      <c r="C20" s="1189" t="s">
        <v>1104</v>
      </c>
      <c r="D20" s="1212">
        <f>N6</f>
        <v>0</v>
      </c>
      <c r="E20" s="46"/>
      <c r="F20" s="46"/>
      <c r="G20" s="46"/>
      <c r="H20" s="46"/>
      <c r="I20" s="46"/>
      <c r="J20" s="46"/>
      <c r="K20" s="46"/>
      <c r="L20" s="46"/>
      <c r="M20" s="46"/>
      <c r="N20" s="46"/>
      <c r="O20" s="46"/>
      <c r="P20" s="46"/>
      <c r="Q20" s="46"/>
      <c r="R20" s="46"/>
      <c r="S20" s="46"/>
      <c r="T20" s="46"/>
      <c r="U20" s="46"/>
      <c r="V20" s="46"/>
      <c r="W20" s="46"/>
      <c r="X20" s="46"/>
      <c r="Y20" s="46"/>
      <c r="Z20" s="46"/>
    </row>
    <row r="21" spans="1:26" ht="12.75" customHeight="1">
      <c r="A21" s="1180"/>
      <c r="B21" s="46"/>
      <c r="C21" s="1189" t="s">
        <v>1111</v>
      </c>
      <c r="D21" s="1213">
        <f>SUM(L9:L10)</f>
        <v>142534.9632</v>
      </c>
      <c r="E21" s="46"/>
      <c r="F21" s="152"/>
      <c r="G21" s="46"/>
      <c r="H21" s="46"/>
      <c r="I21" s="46"/>
      <c r="J21" s="46"/>
      <c r="K21" s="46"/>
      <c r="L21" s="46"/>
      <c r="M21" s="46"/>
      <c r="N21" s="46"/>
      <c r="O21" s="46"/>
      <c r="P21" s="46"/>
      <c r="Q21" s="46"/>
      <c r="R21" s="46"/>
      <c r="S21" s="46"/>
      <c r="T21" s="46"/>
      <c r="U21" s="46"/>
      <c r="V21" s="46"/>
      <c r="W21" s="46"/>
      <c r="X21" s="46"/>
      <c r="Y21" s="46"/>
      <c r="Z21" s="46"/>
    </row>
    <row r="22" spans="1:26" ht="12.75" customHeight="1">
      <c r="A22" s="1180"/>
      <c r="B22" s="46"/>
      <c r="C22" s="1189" t="s">
        <v>1114</v>
      </c>
      <c r="D22" s="1213">
        <f>L17</f>
        <v>23161.931519999998</v>
      </c>
      <c r="E22" s="46"/>
      <c r="F22" s="152"/>
      <c r="G22" s="46"/>
      <c r="H22" s="152"/>
      <c r="I22" s="46"/>
      <c r="J22" s="46"/>
      <c r="K22" s="46"/>
      <c r="L22" s="46"/>
      <c r="M22" s="46"/>
      <c r="N22" s="46"/>
      <c r="O22" s="46"/>
      <c r="P22" s="46"/>
      <c r="Q22" s="46"/>
      <c r="R22" s="46"/>
      <c r="S22" s="46"/>
      <c r="T22" s="46"/>
      <c r="U22" s="46"/>
      <c r="V22" s="46"/>
      <c r="W22" s="46"/>
      <c r="X22" s="46"/>
      <c r="Y22" s="46"/>
      <c r="Z22" s="46"/>
    </row>
    <row r="23" spans="1:26" ht="12.75" customHeight="1">
      <c r="A23" s="1180"/>
      <c r="B23" s="46"/>
      <c r="C23" s="46"/>
      <c r="D23" s="1186"/>
      <c r="E23" s="46"/>
      <c r="F23" s="46"/>
      <c r="G23" s="46"/>
      <c r="H23" s="46"/>
      <c r="I23" s="46"/>
      <c r="J23" s="46"/>
      <c r="K23" s="46"/>
      <c r="L23" s="46"/>
      <c r="M23" s="46"/>
      <c r="N23" s="46"/>
      <c r="O23" s="46"/>
      <c r="P23" s="46"/>
      <c r="Q23" s="46"/>
      <c r="R23" s="46"/>
      <c r="S23" s="46"/>
      <c r="T23" s="46"/>
      <c r="U23" s="46"/>
      <c r="V23" s="46"/>
      <c r="W23" s="46"/>
      <c r="X23" s="46"/>
      <c r="Y23" s="46"/>
      <c r="Z23" s="46"/>
    </row>
    <row r="24" spans="1:26" ht="18.75" customHeight="1">
      <c r="A24" s="2"/>
      <c r="B24" s="46"/>
      <c r="C24" s="1214"/>
      <c r="D24" s="46"/>
      <c r="E24" s="46"/>
      <c r="F24" s="46"/>
      <c r="G24" s="46"/>
      <c r="H24" s="46"/>
      <c r="I24" s="46"/>
      <c r="J24" s="46"/>
      <c r="K24" s="46"/>
      <c r="L24" s="46"/>
      <c r="M24" s="46"/>
      <c r="N24" s="46"/>
      <c r="O24" s="46"/>
      <c r="P24" s="46"/>
      <c r="Q24" s="46"/>
      <c r="R24" s="46"/>
      <c r="S24" s="46"/>
      <c r="T24" s="46"/>
      <c r="U24" s="46"/>
      <c r="V24" s="46"/>
      <c r="W24" s="46"/>
      <c r="X24" s="46"/>
      <c r="Y24" s="46"/>
      <c r="Z24" s="46"/>
    </row>
    <row r="25" spans="1:26" ht="18.75" customHeight="1">
      <c r="A25" s="2"/>
      <c r="B25" s="1215" t="s">
        <v>1123</v>
      </c>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36" customHeight="1">
      <c r="A26" s="2"/>
      <c r="B26" s="1216"/>
      <c r="C26" s="46"/>
      <c r="D26" s="1217" t="s">
        <v>1124</v>
      </c>
      <c r="E26" s="97"/>
      <c r="F26" s="1182" t="s">
        <v>1125</v>
      </c>
      <c r="G26" s="46"/>
      <c r="H26" s="1217" t="s">
        <v>54</v>
      </c>
      <c r="I26" s="1218"/>
      <c r="J26" s="1217" t="s">
        <v>1126</v>
      </c>
      <c r="K26" s="46"/>
      <c r="L26" s="1217" t="s">
        <v>1127</v>
      </c>
      <c r="M26" s="46"/>
      <c r="N26" s="46"/>
      <c r="O26" s="46"/>
      <c r="P26" s="46"/>
      <c r="Q26" s="46"/>
      <c r="R26" s="46"/>
      <c r="S26" s="46"/>
      <c r="T26" s="46"/>
      <c r="U26" s="46"/>
      <c r="V26" s="46"/>
      <c r="W26" s="46"/>
      <c r="X26" s="46"/>
      <c r="Y26" s="46"/>
      <c r="Z26" s="46"/>
    </row>
    <row r="27" spans="1:26" ht="18.75" customHeight="1">
      <c r="A27" s="2"/>
      <c r="B27" s="46"/>
      <c r="C27" s="1219" t="s">
        <v>1128</v>
      </c>
      <c r="D27" s="1214">
        <v>0.2893143272</v>
      </c>
      <c r="E27" s="1187" t="s">
        <v>57</v>
      </c>
      <c r="F27" s="1220">
        <v>0.125</v>
      </c>
      <c r="G27" s="1187" t="s">
        <v>58</v>
      </c>
      <c r="H27" s="1032">
        <f t="shared" ref="H27:H29" si="0">D27*F27*1000*12/44*$Q$9</f>
        <v>276.16367596363636</v>
      </c>
      <c r="I27" s="1187" t="s">
        <v>58</v>
      </c>
      <c r="J27" s="1032">
        <f t="shared" ref="J27:J29" si="1">D27*F27*1000</f>
        <v>36.164290899999997</v>
      </c>
      <c r="K27" s="1187" t="s">
        <v>58</v>
      </c>
      <c r="L27" s="1032">
        <f t="shared" ref="L27:L29" si="2">D27*F27*1000*$Q$9</f>
        <v>1012.6001451999999</v>
      </c>
      <c r="M27" s="46"/>
      <c r="N27" s="46"/>
      <c r="O27" s="46"/>
      <c r="P27" s="46"/>
      <c r="Q27" s="46"/>
      <c r="R27" s="46"/>
      <c r="S27" s="46"/>
      <c r="T27" s="46"/>
      <c r="U27" s="46"/>
      <c r="V27" s="46"/>
      <c r="W27" s="46"/>
      <c r="X27" s="46"/>
      <c r="Y27" s="46"/>
      <c r="Z27" s="46"/>
    </row>
    <row r="28" spans="1:26" ht="18.75" customHeight="1">
      <c r="A28" s="2"/>
      <c r="B28" s="46"/>
      <c r="C28" s="1219" t="s">
        <v>1129</v>
      </c>
      <c r="D28" s="1214">
        <v>0.2893143272</v>
      </c>
      <c r="E28" s="1187" t="s">
        <v>57</v>
      </c>
      <c r="F28" s="1220">
        <v>0.25</v>
      </c>
      <c r="G28" s="1187" t="s">
        <v>58</v>
      </c>
      <c r="H28" s="1032">
        <f t="shared" si="0"/>
        <v>552.32735192727273</v>
      </c>
      <c r="I28" s="1187" t="s">
        <v>58</v>
      </c>
      <c r="J28" s="1032">
        <f t="shared" si="1"/>
        <v>72.328581799999995</v>
      </c>
      <c r="K28" s="1187" t="s">
        <v>58</v>
      </c>
      <c r="L28" s="1032">
        <f t="shared" si="2"/>
        <v>2025.2002903999999</v>
      </c>
      <c r="M28" s="46"/>
      <c r="N28" s="46"/>
      <c r="O28" s="46"/>
      <c r="P28" s="46"/>
      <c r="Q28" s="46"/>
      <c r="R28" s="46"/>
      <c r="S28" s="46"/>
      <c r="T28" s="46"/>
      <c r="U28" s="46"/>
      <c r="V28" s="46"/>
      <c r="W28" s="46"/>
      <c r="X28" s="46"/>
      <c r="Y28" s="46"/>
      <c r="Z28" s="46"/>
    </row>
    <row r="29" spans="1:26" ht="18.75" customHeight="1">
      <c r="A29" s="2"/>
      <c r="B29" s="46"/>
      <c r="C29" s="1219" t="s">
        <v>1130</v>
      </c>
      <c r="D29" s="1214">
        <v>0.2893143272</v>
      </c>
      <c r="E29" s="1187" t="s">
        <v>57</v>
      </c>
      <c r="F29" s="1220">
        <v>0.625</v>
      </c>
      <c r="G29" s="1187" t="s">
        <v>58</v>
      </c>
      <c r="H29" s="1032">
        <f t="shared" si="0"/>
        <v>1380.8183798181817</v>
      </c>
      <c r="I29" s="1187" t="s">
        <v>58</v>
      </c>
      <c r="J29" s="1032">
        <f t="shared" si="1"/>
        <v>180.82145450000002</v>
      </c>
      <c r="K29" s="1187" t="s">
        <v>58</v>
      </c>
      <c r="L29" s="1032">
        <f t="shared" si="2"/>
        <v>5063.0007260000002</v>
      </c>
      <c r="M29" s="46"/>
      <c r="N29" s="46"/>
      <c r="O29" s="46"/>
      <c r="P29" s="46"/>
      <c r="Q29" s="46"/>
      <c r="R29" s="46"/>
      <c r="S29" s="46"/>
      <c r="T29" s="46"/>
      <c r="U29" s="46"/>
      <c r="V29" s="46"/>
      <c r="W29" s="46"/>
      <c r="X29" s="46"/>
      <c r="Y29" s="46"/>
      <c r="Z29" s="46"/>
    </row>
    <row r="30" spans="1:26" ht="18.75" customHeight="1">
      <c r="A30" s="2"/>
      <c r="B30" s="1216"/>
      <c r="C30" s="1214"/>
      <c r="D30" s="46"/>
      <c r="E30" s="46"/>
      <c r="F30" s="46"/>
      <c r="G30" s="46"/>
      <c r="H30" s="46"/>
      <c r="I30" s="46"/>
      <c r="J30" s="46"/>
      <c r="K30" s="46"/>
      <c r="L30" s="46"/>
      <c r="M30" s="46"/>
      <c r="N30" s="46"/>
      <c r="O30" s="46"/>
      <c r="P30" s="46"/>
      <c r="Q30" s="46"/>
      <c r="R30" s="46"/>
      <c r="S30" s="46"/>
      <c r="T30" s="46"/>
      <c r="U30" s="46"/>
      <c r="V30" s="46"/>
      <c r="W30" s="46"/>
      <c r="X30" s="46"/>
      <c r="Y30" s="46"/>
      <c r="Z30" s="46"/>
    </row>
    <row r="31" spans="1:26" ht="18.75" customHeight="1">
      <c r="A31" s="2"/>
      <c r="B31" s="1216"/>
      <c r="C31" s="1214"/>
      <c r="D31" s="46"/>
      <c r="E31" s="46"/>
      <c r="F31" s="46"/>
      <c r="G31" s="46"/>
      <c r="H31" s="46"/>
      <c r="I31" s="46"/>
      <c r="J31" s="46"/>
      <c r="K31" s="46"/>
      <c r="L31" s="46"/>
      <c r="M31" s="46"/>
      <c r="N31" s="46"/>
      <c r="O31" s="46"/>
      <c r="P31" s="46"/>
      <c r="Q31" s="46"/>
      <c r="R31" s="46"/>
      <c r="S31" s="46"/>
      <c r="T31" s="46"/>
      <c r="U31" s="46"/>
      <c r="V31" s="46"/>
      <c r="W31" s="46"/>
      <c r="X31" s="46"/>
      <c r="Y31" s="46"/>
      <c r="Z31" s="46"/>
    </row>
    <row r="32" spans="1:26" ht="19.5" customHeight="1">
      <c r="A32" s="2"/>
      <c r="B32" s="1215" t="s">
        <v>1131</v>
      </c>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9.5" customHeight="1">
      <c r="A33" s="2"/>
      <c r="B33" s="1221" t="s">
        <v>1132</v>
      </c>
      <c r="C33" s="1222"/>
      <c r="D33" s="46"/>
      <c r="E33" s="46"/>
      <c r="F33" s="46"/>
      <c r="G33" s="46"/>
      <c r="H33" s="46"/>
      <c r="I33" s="46"/>
      <c r="J33" s="46"/>
      <c r="K33" s="46"/>
      <c r="L33" s="46"/>
      <c r="M33" s="46"/>
      <c r="N33" s="46"/>
      <c r="O33" s="46"/>
      <c r="P33" s="46"/>
      <c r="Q33" s="46"/>
      <c r="R33" s="46"/>
      <c r="S33" s="46"/>
      <c r="T33" s="46"/>
      <c r="U33" s="46"/>
      <c r="V33" s="46"/>
      <c r="W33" s="46"/>
      <c r="X33" s="46"/>
      <c r="Y33" s="46"/>
      <c r="Z33" s="46"/>
    </row>
    <row r="34" spans="1:26" ht="19.5" customHeight="1">
      <c r="A34" s="2"/>
      <c r="B34" s="1221"/>
      <c r="C34" s="1223">
        <v>2006</v>
      </c>
      <c r="D34" s="46"/>
      <c r="E34" s="46"/>
      <c r="F34" s="46"/>
      <c r="G34" s="46"/>
      <c r="H34" s="46"/>
      <c r="I34" s="46"/>
      <c r="J34" s="46"/>
      <c r="K34" s="46"/>
      <c r="L34" s="46"/>
      <c r="M34" s="46"/>
      <c r="N34" s="46"/>
      <c r="O34" s="46"/>
      <c r="P34" s="46"/>
      <c r="Q34" s="46"/>
      <c r="R34" s="46"/>
      <c r="S34" s="46"/>
      <c r="T34" s="46"/>
      <c r="U34" s="46"/>
      <c r="V34" s="46"/>
      <c r="W34" s="46"/>
      <c r="X34" s="46"/>
      <c r="Y34" s="46"/>
      <c r="Z34" s="46"/>
    </row>
    <row r="35" spans="1:26" ht="18.75" customHeight="1">
      <c r="A35" s="2"/>
      <c r="B35" s="1224" t="s">
        <v>1133</v>
      </c>
      <c r="C35" s="1225">
        <f>D19/1000000</f>
        <v>0.16569689471999999</v>
      </c>
      <c r="D35" s="1226"/>
      <c r="E35" s="46"/>
      <c r="F35" s="46"/>
      <c r="G35" s="46"/>
      <c r="H35" s="46"/>
      <c r="I35" s="46"/>
      <c r="J35" s="46"/>
      <c r="K35" s="46"/>
      <c r="L35" s="46"/>
      <c r="M35" s="46"/>
      <c r="N35" s="46"/>
      <c r="O35" s="46"/>
      <c r="P35" s="46"/>
      <c r="Q35" s="46"/>
      <c r="R35" s="46"/>
      <c r="S35" s="46"/>
      <c r="T35" s="46"/>
      <c r="U35" s="46"/>
      <c r="V35" s="46"/>
      <c r="W35" s="46"/>
      <c r="X35" s="46"/>
      <c r="Y35" s="46"/>
      <c r="Z35" s="46"/>
    </row>
    <row r="36" spans="1:26" ht="18.75" customHeight="1">
      <c r="A36" s="2"/>
      <c r="B36" s="1224" t="s">
        <v>1134</v>
      </c>
      <c r="C36" s="1225">
        <f>SUM(C37:C39)</f>
        <v>8.1008011616000002E-3</v>
      </c>
      <c r="D36" s="1227"/>
      <c r="E36" s="46"/>
      <c r="F36" s="46"/>
      <c r="G36" s="46"/>
      <c r="H36" s="46"/>
      <c r="I36" s="46"/>
      <c r="J36" s="46"/>
      <c r="K36" s="46"/>
      <c r="L36" s="46"/>
      <c r="M36" s="46"/>
      <c r="N36" s="46"/>
      <c r="O36" s="46"/>
      <c r="P36" s="46"/>
      <c r="Q36" s="46"/>
      <c r="R36" s="46"/>
      <c r="S36" s="46"/>
      <c r="T36" s="46"/>
      <c r="U36" s="46"/>
      <c r="V36" s="46"/>
      <c r="W36" s="46"/>
      <c r="X36" s="46"/>
      <c r="Y36" s="46"/>
      <c r="Z36" s="46"/>
    </row>
    <row r="37" spans="1:26" ht="18.75" customHeight="1">
      <c r="A37" s="2"/>
      <c r="B37" s="1228" t="s">
        <v>1128</v>
      </c>
      <c r="C37" s="1225">
        <f t="shared" ref="C37:C39" si="3">L27/1000000</f>
        <v>1.0126001452E-3</v>
      </c>
      <c r="D37" s="1227"/>
      <c r="E37" s="46"/>
      <c r="F37" s="46"/>
      <c r="G37" s="46"/>
      <c r="H37" s="46"/>
      <c r="I37" s="46"/>
      <c r="J37" s="46"/>
      <c r="K37" s="46"/>
      <c r="L37" s="46"/>
      <c r="M37" s="46"/>
      <c r="N37" s="46"/>
      <c r="O37" s="46"/>
      <c r="P37" s="46"/>
      <c r="Q37" s="46"/>
      <c r="R37" s="46"/>
      <c r="S37" s="46"/>
      <c r="T37" s="46"/>
      <c r="U37" s="46"/>
      <c r="V37" s="46"/>
      <c r="W37" s="46"/>
      <c r="X37" s="46"/>
      <c r="Y37" s="46"/>
      <c r="Z37" s="46"/>
    </row>
    <row r="38" spans="1:26" ht="18.75" customHeight="1">
      <c r="A38" s="2"/>
      <c r="B38" s="1228" t="s">
        <v>1129</v>
      </c>
      <c r="C38" s="1225">
        <f t="shared" si="3"/>
        <v>2.0252002904000001E-3</v>
      </c>
      <c r="D38" s="1227"/>
      <c r="E38" s="46"/>
      <c r="F38" s="46"/>
      <c r="G38" s="46"/>
      <c r="H38" s="46"/>
      <c r="I38" s="46"/>
      <c r="J38" s="46"/>
      <c r="K38" s="46"/>
      <c r="L38" s="46"/>
      <c r="M38" s="46"/>
      <c r="N38" s="46"/>
      <c r="O38" s="46"/>
      <c r="P38" s="46"/>
      <c r="Q38" s="46"/>
      <c r="R38" s="46"/>
      <c r="S38" s="46"/>
      <c r="T38" s="46"/>
      <c r="U38" s="46"/>
      <c r="V38" s="46"/>
      <c r="W38" s="46"/>
      <c r="X38" s="46"/>
      <c r="Y38" s="46"/>
      <c r="Z38" s="46"/>
    </row>
    <row r="39" spans="1:26" ht="18.75" customHeight="1">
      <c r="A39" s="2"/>
      <c r="B39" s="1228" t="s">
        <v>1130</v>
      </c>
      <c r="C39" s="1225">
        <f t="shared" si="3"/>
        <v>5.0630007260000004E-3</v>
      </c>
      <c r="D39" s="1227"/>
      <c r="E39" s="46"/>
      <c r="F39" s="46"/>
      <c r="G39" s="46"/>
      <c r="H39" s="46"/>
      <c r="I39" s="46"/>
      <c r="J39" s="46"/>
      <c r="K39" s="46"/>
      <c r="L39" s="46"/>
      <c r="M39" s="46"/>
      <c r="N39" s="46"/>
      <c r="O39" s="46"/>
      <c r="P39" s="46"/>
      <c r="Q39" s="46"/>
      <c r="R39" s="46"/>
      <c r="S39" s="46"/>
      <c r="T39" s="46"/>
      <c r="U39" s="46"/>
      <c r="V39" s="46"/>
      <c r="W39" s="46"/>
      <c r="X39" s="46"/>
      <c r="Y39" s="46"/>
      <c r="Z39" s="46"/>
    </row>
    <row r="40" spans="1:26" ht="19.5" customHeight="1">
      <c r="A40" s="2"/>
      <c r="B40" s="1229"/>
      <c r="C40" s="1230"/>
      <c r="D40" s="46"/>
      <c r="E40" s="46"/>
      <c r="F40" s="46"/>
      <c r="G40" s="46"/>
      <c r="H40" s="46"/>
      <c r="I40" s="46"/>
      <c r="J40" s="46"/>
      <c r="K40" s="46"/>
      <c r="L40" s="46"/>
      <c r="M40" s="46"/>
      <c r="N40" s="46"/>
      <c r="O40" s="46"/>
      <c r="P40" s="46"/>
      <c r="Q40" s="46"/>
      <c r="R40" s="46"/>
      <c r="S40" s="46"/>
      <c r="T40" s="46"/>
      <c r="U40" s="46"/>
      <c r="V40" s="46"/>
      <c r="W40" s="46"/>
      <c r="X40" s="46"/>
      <c r="Y40" s="46"/>
      <c r="Z40" s="46"/>
    </row>
    <row r="41" spans="1:26" ht="18.75" customHeight="1">
      <c r="A41" s="2"/>
      <c r="B41" s="1216"/>
      <c r="C41" s="1214"/>
      <c r="D41" s="46"/>
      <c r="E41" s="46"/>
      <c r="F41" s="46"/>
      <c r="G41" s="46"/>
      <c r="H41" s="46"/>
      <c r="I41" s="46"/>
      <c r="J41" s="46"/>
      <c r="K41" s="46"/>
      <c r="L41" s="46"/>
      <c r="M41" s="46"/>
      <c r="N41" s="46"/>
      <c r="O41" s="46"/>
      <c r="P41" s="46"/>
      <c r="Q41" s="46"/>
      <c r="R41" s="46"/>
      <c r="S41" s="46"/>
      <c r="T41" s="46"/>
      <c r="U41" s="46"/>
      <c r="V41" s="46"/>
      <c r="W41" s="46"/>
      <c r="X41" s="46"/>
      <c r="Y41" s="46"/>
      <c r="Z41" s="46"/>
    </row>
    <row r="42" spans="1:26" ht="19.5" customHeight="1">
      <c r="A42" s="2"/>
      <c r="B42" s="1216"/>
      <c r="C42" s="1214"/>
      <c r="D42" s="46"/>
      <c r="E42" s="46"/>
      <c r="F42" s="46"/>
      <c r="G42" s="46"/>
      <c r="H42" s="46"/>
      <c r="I42" s="46"/>
      <c r="J42" s="46"/>
      <c r="K42" s="46"/>
      <c r="L42" s="46"/>
      <c r="M42" s="46"/>
      <c r="N42" s="46"/>
      <c r="O42" s="46"/>
      <c r="P42" s="46"/>
      <c r="Q42" s="46"/>
      <c r="R42" s="46"/>
      <c r="S42" s="46"/>
      <c r="T42" s="46"/>
      <c r="U42" s="46"/>
      <c r="V42" s="46"/>
      <c r="W42" s="46"/>
      <c r="X42" s="46"/>
      <c r="Y42" s="46"/>
      <c r="Z42" s="46"/>
    </row>
    <row r="43" spans="1:26" ht="12" customHeight="1">
      <c r="A43" s="46"/>
      <c r="B43" s="1221" t="s">
        <v>1135</v>
      </c>
      <c r="C43" s="1222"/>
      <c r="D43" s="46"/>
      <c r="E43" s="46"/>
      <c r="F43" s="46"/>
      <c r="G43" s="46"/>
      <c r="H43" s="46"/>
      <c r="I43" s="46"/>
      <c r="J43" s="46"/>
      <c r="K43" s="46"/>
      <c r="L43" s="46"/>
      <c r="M43" s="46"/>
      <c r="N43" s="46"/>
      <c r="O43" s="46"/>
      <c r="P43" s="46"/>
      <c r="Q43" s="46"/>
      <c r="R43" s="46"/>
      <c r="S43" s="46"/>
      <c r="T43" s="46"/>
      <c r="U43" s="46"/>
      <c r="V43" s="46"/>
      <c r="W43" s="46"/>
      <c r="X43" s="46"/>
      <c r="Y43" s="46"/>
      <c r="Z43" s="46"/>
    </row>
    <row r="44" spans="1:26" ht="12" customHeight="1">
      <c r="A44" s="46"/>
      <c r="B44" s="1221"/>
      <c r="C44" s="1223">
        <v>2006</v>
      </c>
      <c r="D44" s="46"/>
      <c r="E44" s="46"/>
      <c r="F44" s="46"/>
      <c r="G44" s="46"/>
      <c r="H44" s="46"/>
      <c r="I44" s="46"/>
      <c r="J44" s="46"/>
      <c r="K44" s="46"/>
      <c r="L44" s="46"/>
      <c r="M44" s="46"/>
      <c r="N44" s="46"/>
      <c r="O44" s="46"/>
      <c r="P44" s="46"/>
      <c r="Q44" s="46"/>
      <c r="R44" s="46"/>
      <c r="S44" s="46"/>
      <c r="T44" s="46"/>
      <c r="U44" s="46"/>
      <c r="V44" s="46"/>
      <c r="W44" s="46"/>
      <c r="X44" s="46"/>
      <c r="Y44" s="46"/>
      <c r="Z44" s="46"/>
    </row>
    <row r="45" spans="1:26" ht="11.25" customHeight="1">
      <c r="A45" s="46"/>
      <c r="B45" s="1224" t="s">
        <v>1133</v>
      </c>
      <c r="C45" s="1231">
        <f>D19</f>
        <v>165696.89471999998</v>
      </c>
      <c r="D45" s="46"/>
      <c r="E45" s="46"/>
      <c r="F45" s="46"/>
      <c r="G45" s="46"/>
      <c r="H45" s="46"/>
      <c r="I45" s="46"/>
      <c r="J45" s="46"/>
      <c r="K45" s="46"/>
      <c r="L45" s="46"/>
      <c r="M45" s="46"/>
      <c r="N45" s="46"/>
      <c r="O45" s="46"/>
      <c r="P45" s="46"/>
      <c r="Q45" s="46"/>
      <c r="R45" s="46"/>
      <c r="S45" s="46"/>
      <c r="T45" s="46"/>
      <c r="U45" s="46"/>
      <c r="V45" s="46"/>
      <c r="W45" s="46"/>
      <c r="X45" s="46"/>
      <c r="Y45" s="46"/>
      <c r="Z45" s="46"/>
    </row>
    <row r="46" spans="1:26" ht="11.25" customHeight="1">
      <c r="A46" s="46"/>
      <c r="B46" s="1224" t="s">
        <v>1134</v>
      </c>
      <c r="C46" s="1231">
        <f>SUM(C47:C49)</f>
        <v>8100.8011616000003</v>
      </c>
      <c r="D46" s="46"/>
      <c r="E46" s="46"/>
      <c r="F46" s="46"/>
      <c r="G46" s="46"/>
      <c r="H46" s="46"/>
      <c r="I46" s="46"/>
      <c r="J46" s="46"/>
      <c r="K46" s="46"/>
      <c r="L46" s="46"/>
      <c r="M46" s="46"/>
      <c r="N46" s="46"/>
      <c r="O46" s="46"/>
      <c r="P46" s="46"/>
      <c r="Q46" s="46"/>
      <c r="R46" s="46"/>
      <c r="S46" s="46"/>
      <c r="T46" s="46"/>
      <c r="U46" s="46"/>
      <c r="V46" s="46"/>
      <c r="W46" s="46"/>
      <c r="X46" s="46"/>
      <c r="Y46" s="46"/>
      <c r="Z46" s="46"/>
    </row>
    <row r="47" spans="1:26" ht="11.25" customHeight="1">
      <c r="A47" s="46"/>
      <c r="B47" s="1228" t="s">
        <v>1128</v>
      </c>
      <c r="C47" s="1231">
        <f t="shared" ref="C47:C49" si="4">L27</f>
        <v>1012.6001451999999</v>
      </c>
      <c r="D47" s="46"/>
      <c r="E47" s="46"/>
      <c r="F47" s="46"/>
      <c r="G47" s="46"/>
      <c r="H47" s="46"/>
      <c r="I47" s="46"/>
      <c r="J47" s="46"/>
      <c r="K47" s="46"/>
      <c r="L47" s="46"/>
      <c r="M47" s="46"/>
      <c r="N47" s="46"/>
      <c r="O47" s="46"/>
      <c r="P47" s="46"/>
      <c r="Q47" s="46"/>
      <c r="R47" s="46"/>
      <c r="S47" s="46"/>
      <c r="T47" s="46"/>
      <c r="U47" s="46"/>
      <c r="V47" s="46"/>
      <c r="W47" s="46"/>
      <c r="X47" s="46"/>
      <c r="Y47" s="46"/>
      <c r="Z47" s="46"/>
    </row>
    <row r="48" spans="1:26" ht="11.25" customHeight="1">
      <c r="A48" s="46"/>
      <c r="B48" s="1228" t="s">
        <v>1129</v>
      </c>
      <c r="C48" s="1231">
        <f t="shared" si="4"/>
        <v>2025.2002903999999</v>
      </c>
      <c r="D48" s="46"/>
      <c r="E48" s="46"/>
      <c r="F48" s="46"/>
      <c r="G48" s="46"/>
      <c r="H48" s="46"/>
      <c r="I48" s="46"/>
      <c r="J48" s="46"/>
      <c r="K48" s="46"/>
      <c r="L48" s="46"/>
      <c r="M48" s="46"/>
      <c r="N48" s="46"/>
      <c r="O48" s="46"/>
      <c r="P48" s="46"/>
      <c r="Q48" s="46"/>
      <c r="R48" s="46"/>
      <c r="S48" s="46"/>
      <c r="T48" s="46"/>
      <c r="U48" s="46"/>
      <c r="V48" s="46"/>
      <c r="W48" s="46"/>
      <c r="X48" s="46"/>
      <c r="Y48" s="46"/>
      <c r="Z48" s="46"/>
    </row>
    <row r="49" spans="1:26" ht="11.25" customHeight="1">
      <c r="A49" s="46"/>
      <c r="B49" s="1228" t="s">
        <v>1130</v>
      </c>
      <c r="C49" s="1231">
        <f t="shared" si="4"/>
        <v>5063.0007260000002</v>
      </c>
      <c r="D49" s="46"/>
      <c r="E49" s="46"/>
      <c r="F49" s="46"/>
      <c r="G49" s="46"/>
      <c r="H49" s="46"/>
      <c r="I49" s="46"/>
      <c r="J49" s="46"/>
      <c r="K49" s="46"/>
      <c r="L49" s="46"/>
      <c r="M49" s="46"/>
      <c r="N49" s="46"/>
      <c r="O49" s="46"/>
      <c r="P49" s="46"/>
      <c r="Q49" s="46"/>
      <c r="R49" s="46"/>
      <c r="S49" s="46"/>
      <c r="T49" s="46"/>
      <c r="U49" s="46"/>
      <c r="V49" s="46"/>
      <c r="W49" s="46"/>
      <c r="X49" s="46"/>
      <c r="Y49" s="46"/>
      <c r="Z49" s="46"/>
    </row>
    <row r="50" spans="1:26" ht="12" customHeight="1">
      <c r="A50" s="46"/>
      <c r="B50" s="1232"/>
      <c r="C50" s="1233"/>
      <c r="D50" s="46"/>
      <c r="E50" s="46"/>
      <c r="F50" s="46"/>
      <c r="G50" s="46"/>
      <c r="H50" s="46"/>
      <c r="I50" s="46"/>
      <c r="J50" s="46"/>
      <c r="K50" s="46"/>
      <c r="L50" s="46"/>
      <c r="M50" s="46"/>
      <c r="N50" s="46"/>
      <c r="O50" s="46"/>
      <c r="P50" s="46"/>
      <c r="Q50" s="46"/>
      <c r="R50" s="46"/>
      <c r="S50" s="46"/>
      <c r="T50" s="46"/>
      <c r="U50" s="46"/>
      <c r="V50" s="46"/>
      <c r="W50" s="46"/>
      <c r="X50" s="46"/>
      <c r="Y50" s="46"/>
      <c r="Z50" s="46"/>
    </row>
    <row r="51" spans="1:26" ht="12" customHeight="1">
      <c r="A51" s="46"/>
      <c r="B51" s="1221" t="s">
        <v>1136</v>
      </c>
      <c r="C51" s="1234">
        <v>2006</v>
      </c>
      <c r="D51" s="46"/>
      <c r="E51" s="46"/>
      <c r="F51" s="46"/>
      <c r="G51" s="46"/>
      <c r="H51" s="46"/>
      <c r="I51" s="46"/>
      <c r="J51" s="46"/>
      <c r="K51" s="46"/>
      <c r="L51" s="46"/>
      <c r="M51" s="46"/>
      <c r="N51" s="46"/>
      <c r="O51" s="46"/>
      <c r="P51" s="46"/>
      <c r="Q51" s="46"/>
      <c r="R51" s="46"/>
      <c r="S51" s="46"/>
      <c r="T51" s="46"/>
      <c r="U51" s="46"/>
      <c r="V51" s="46"/>
      <c r="W51" s="46"/>
      <c r="X51" s="46"/>
      <c r="Y51" s="46"/>
      <c r="Z51" s="46"/>
    </row>
    <row r="52" spans="1:26" ht="11.25" customHeight="1">
      <c r="A52" s="46"/>
      <c r="B52" s="1224" t="s">
        <v>1133</v>
      </c>
      <c r="C52" s="1231">
        <f>C45*12/44</f>
        <v>45190.062196363629</v>
      </c>
      <c r="D52" s="1031"/>
      <c r="E52" s="46"/>
      <c r="F52" s="46"/>
      <c r="G52" s="46"/>
      <c r="H52" s="46"/>
      <c r="I52" s="46"/>
      <c r="J52" s="46"/>
      <c r="K52" s="46"/>
      <c r="L52" s="46"/>
      <c r="M52" s="46"/>
      <c r="N52" s="46"/>
      <c r="O52" s="46"/>
      <c r="P52" s="46"/>
      <c r="Q52" s="46"/>
      <c r="R52" s="46"/>
      <c r="S52" s="46"/>
      <c r="T52" s="46"/>
      <c r="U52" s="46"/>
      <c r="V52" s="46"/>
      <c r="W52" s="46"/>
      <c r="X52" s="46"/>
      <c r="Y52" s="46"/>
      <c r="Z52" s="46"/>
    </row>
    <row r="53" spans="1:26" ht="11.25" customHeight="1">
      <c r="A53" s="46"/>
      <c r="B53" s="1224" t="s">
        <v>1134</v>
      </c>
      <c r="C53" s="1231">
        <f>SUM(C54:C56)</f>
        <v>2209.3094077090909</v>
      </c>
      <c r="D53" s="46"/>
      <c r="E53" s="46"/>
      <c r="F53" s="46"/>
      <c r="G53" s="46"/>
      <c r="H53" s="46"/>
      <c r="I53" s="46"/>
      <c r="J53" s="46"/>
      <c r="K53" s="46"/>
      <c r="L53" s="46"/>
      <c r="M53" s="46"/>
      <c r="N53" s="46"/>
      <c r="O53" s="46"/>
      <c r="P53" s="46"/>
      <c r="Q53" s="46"/>
      <c r="R53" s="46"/>
      <c r="S53" s="46"/>
      <c r="T53" s="46"/>
      <c r="U53" s="46"/>
      <c r="V53" s="46"/>
      <c r="W53" s="46"/>
      <c r="X53" s="46"/>
      <c r="Y53" s="46"/>
      <c r="Z53" s="46"/>
    </row>
    <row r="54" spans="1:26" ht="11.25" customHeight="1">
      <c r="A54" s="46"/>
      <c r="B54" s="1228" t="s">
        <v>1128</v>
      </c>
      <c r="C54" s="1231">
        <f t="shared" ref="C54:C56" si="5">H27</f>
        <v>276.16367596363636</v>
      </c>
      <c r="D54" s="1031"/>
      <c r="E54" s="46"/>
      <c r="F54" s="46"/>
      <c r="G54" s="46"/>
      <c r="H54" s="46"/>
      <c r="I54" s="46"/>
      <c r="J54" s="46"/>
      <c r="K54" s="46"/>
      <c r="L54" s="46"/>
      <c r="M54" s="46"/>
      <c r="N54" s="46"/>
      <c r="O54" s="46"/>
      <c r="P54" s="46"/>
      <c r="Q54" s="46"/>
      <c r="R54" s="46"/>
      <c r="S54" s="46"/>
      <c r="T54" s="46"/>
      <c r="U54" s="46"/>
      <c r="V54" s="46"/>
      <c r="W54" s="46"/>
      <c r="X54" s="46"/>
      <c r="Y54" s="46"/>
      <c r="Z54" s="46"/>
    </row>
    <row r="55" spans="1:26" ht="11.25" customHeight="1">
      <c r="A55" s="46"/>
      <c r="B55" s="1228" t="s">
        <v>1129</v>
      </c>
      <c r="C55" s="1231">
        <f t="shared" si="5"/>
        <v>552.32735192727273</v>
      </c>
      <c r="D55" s="1031"/>
      <c r="E55" s="46"/>
      <c r="F55" s="46"/>
      <c r="G55" s="46"/>
      <c r="H55" s="46"/>
      <c r="I55" s="46"/>
      <c r="J55" s="46"/>
      <c r="K55" s="46"/>
      <c r="L55" s="46"/>
      <c r="M55" s="46"/>
      <c r="N55" s="46"/>
      <c r="O55" s="46"/>
      <c r="P55" s="46"/>
      <c r="Q55" s="46"/>
      <c r="R55" s="46"/>
      <c r="S55" s="46"/>
      <c r="T55" s="46"/>
      <c r="U55" s="46"/>
      <c r="V55" s="46"/>
      <c r="W55" s="46"/>
      <c r="X55" s="46"/>
      <c r="Y55" s="46"/>
      <c r="Z55" s="46"/>
    </row>
    <row r="56" spans="1:26" ht="11.25" customHeight="1">
      <c r="A56" s="46"/>
      <c r="B56" s="1228" t="s">
        <v>1130</v>
      </c>
      <c r="C56" s="1231">
        <f t="shared" si="5"/>
        <v>1380.8183798181817</v>
      </c>
      <c r="D56" s="1031"/>
      <c r="E56" s="46"/>
      <c r="F56" s="46"/>
      <c r="G56" s="46"/>
      <c r="H56" s="46"/>
      <c r="I56" s="46"/>
      <c r="J56" s="46"/>
      <c r="K56" s="46"/>
      <c r="L56" s="46"/>
      <c r="M56" s="46"/>
      <c r="N56" s="46"/>
      <c r="O56" s="46"/>
      <c r="P56" s="46"/>
      <c r="Q56" s="46"/>
      <c r="R56" s="46"/>
      <c r="S56" s="46"/>
      <c r="T56" s="46"/>
      <c r="U56" s="46"/>
      <c r="V56" s="46"/>
      <c r="W56" s="46"/>
      <c r="X56" s="46"/>
      <c r="Y56" s="46"/>
      <c r="Z56" s="46"/>
    </row>
    <row r="57" spans="1:26" ht="12" customHeight="1">
      <c r="A57" s="46"/>
      <c r="B57" s="1232"/>
      <c r="C57" s="1233"/>
      <c r="D57" s="46"/>
      <c r="E57" s="46"/>
      <c r="F57" s="46"/>
      <c r="G57" s="46"/>
      <c r="H57" s="46"/>
      <c r="I57" s="46"/>
      <c r="J57" s="46"/>
      <c r="K57" s="46"/>
      <c r="L57" s="46"/>
      <c r="M57" s="46"/>
      <c r="N57" s="46"/>
      <c r="O57" s="46"/>
      <c r="P57" s="46"/>
      <c r="Q57" s="46"/>
      <c r="R57" s="46"/>
      <c r="S57" s="46"/>
      <c r="T57" s="46"/>
      <c r="U57" s="46"/>
      <c r="V57" s="46"/>
      <c r="W57" s="46"/>
      <c r="X57" s="46"/>
      <c r="Y57" s="46"/>
      <c r="Z57" s="46"/>
    </row>
    <row r="58" spans="1:26" ht="12" customHeight="1">
      <c r="A58" s="46"/>
      <c r="B58" s="1221" t="s">
        <v>1137</v>
      </c>
      <c r="C58" s="1234">
        <v>2006</v>
      </c>
      <c r="D58" s="46"/>
      <c r="E58" s="46"/>
      <c r="F58" s="46"/>
      <c r="G58" s="46"/>
      <c r="H58" s="46"/>
      <c r="I58" s="46"/>
      <c r="J58" s="46"/>
      <c r="K58" s="46"/>
      <c r="L58" s="46"/>
      <c r="M58" s="46"/>
      <c r="N58" s="46"/>
      <c r="O58" s="46"/>
      <c r="P58" s="46"/>
      <c r="Q58" s="46"/>
      <c r="R58" s="46"/>
      <c r="S58" s="46"/>
      <c r="T58" s="46"/>
      <c r="U58" s="46"/>
      <c r="V58" s="46"/>
      <c r="W58" s="46"/>
      <c r="X58" s="46"/>
      <c r="Y58" s="46"/>
      <c r="Z58" s="46"/>
    </row>
    <row r="59" spans="1:26" ht="11.25" customHeight="1">
      <c r="A59" s="46"/>
      <c r="B59" s="1224" t="s">
        <v>1133</v>
      </c>
      <c r="C59" s="1231">
        <f>C45/21</f>
        <v>7890.3283199999987</v>
      </c>
      <c r="D59" s="46"/>
      <c r="E59" s="46"/>
      <c r="F59" s="46"/>
      <c r="G59" s="46"/>
      <c r="H59" s="46"/>
      <c r="I59" s="46"/>
      <c r="J59" s="46"/>
      <c r="K59" s="46"/>
      <c r="L59" s="46"/>
      <c r="M59" s="46"/>
      <c r="N59" s="46"/>
      <c r="O59" s="46"/>
      <c r="P59" s="46"/>
      <c r="Q59" s="46"/>
      <c r="R59" s="46"/>
      <c r="S59" s="46"/>
      <c r="T59" s="46"/>
      <c r="U59" s="46"/>
      <c r="V59" s="46"/>
      <c r="W59" s="46"/>
      <c r="X59" s="46"/>
      <c r="Y59" s="46"/>
      <c r="Z59" s="46"/>
    </row>
    <row r="60" spans="1:26" ht="11.25" customHeight="1">
      <c r="A60" s="46"/>
      <c r="B60" s="1224" t="s">
        <v>1134</v>
      </c>
      <c r="C60" s="1231">
        <f>SUM(C61:C63)</f>
        <v>289.31432719999998</v>
      </c>
      <c r="D60" s="46"/>
      <c r="E60" s="46"/>
      <c r="F60" s="46"/>
      <c r="G60" s="46"/>
      <c r="H60" s="46"/>
      <c r="I60" s="46"/>
      <c r="J60" s="46"/>
      <c r="K60" s="46"/>
      <c r="L60" s="46"/>
      <c r="M60" s="46"/>
      <c r="N60" s="46"/>
      <c r="O60" s="46"/>
      <c r="P60" s="46"/>
      <c r="Q60" s="46"/>
      <c r="R60" s="46"/>
      <c r="S60" s="46"/>
      <c r="T60" s="46"/>
      <c r="U60" s="46"/>
      <c r="V60" s="46"/>
      <c r="W60" s="46"/>
      <c r="X60" s="46"/>
      <c r="Y60" s="46"/>
      <c r="Z60" s="46"/>
    </row>
    <row r="61" spans="1:26" ht="11.25" customHeight="1">
      <c r="A61" s="46"/>
      <c r="B61" s="1228" t="s">
        <v>1128</v>
      </c>
      <c r="C61" s="1231">
        <f t="shared" ref="C61:C63" si="6">J27</f>
        <v>36.164290899999997</v>
      </c>
      <c r="D61" s="1031"/>
      <c r="E61" s="46"/>
      <c r="F61" s="46"/>
      <c r="G61" s="46"/>
      <c r="H61" s="46"/>
      <c r="I61" s="46"/>
      <c r="J61" s="46"/>
      <c r="K61" s="46"/>
      <c r="L61" s="46"/>
      <c r="M61" s="46"/>
      <c r="N61" s="46"/>
      <c r="O61" s="46"/>
      <c r="P61" s="46"/>
      <c r="Q61" s="46"/>
      <c r="R61" s="46"/>
      <c r="S61" s="46"/>
      <c r="T61" s="46"/>
      <c r="U61" s="46"/>
      <c r="V61" s="46"/>
      <c r="W61" s="46"/>
      <c r="X61" s="46"/>
      <c r="Y61" s="46"/>
      <c r="Z61" s="46"/>
    </row>
    <row r="62" spans="1:26" ht="11.25" customHeight="1">
      <c r="A62" s="46"/>
      <c r="B62" s="1228" t="s">
        <v>1129</v>
      </c>
      <c r="C62" s="1231">
        <f t="shared" si="6"/>
        <v>72.328581799999995</v>
      </c>
      <c r="D62" s="46"/>
      <c r="E62" s="46"/>
      <c r="F62" s="46"/>
      <c r="G62" s="46"/>
      <c r="H62" s="46"/>
      <c r="I62" s="46"/>
      <c r="J62" s="46"/>
      <c r="K62" s="46"/>
      <c r="L62" s="46"/>
      <c r="M62" s="46"/>
      <c r="N62" s="46"/>
      <c r="O62" s="46"/>
      <c r="P62" s="46"/>
      <c r="Q62" s="46"/>
      <c r="R62" s="46"/>
      <c r="S62" s="46"/>
      <c r="T62" s="46"/>
      <c r="U62" s="46"/>
      <c r="V62" s="46"/>
      <c r="W62" s="46"/>
      <c r="X62" s="46"/>
      <c r="Y62" s="46"/>
      <c r="Z62" s="46"/>
    </row>
    <row r="63" spans="1:26" ht="12" customHeight="1">
      <c r="A63" s="46"/>
      <c r="B63" s="1235" t="s">
        <v>1130</v>
      </c>
      <c r="C63" s="1233">
        <f t="shared" si="6"/>
        <v>180.82145450000002</v>
      </c>
      <c r="D63" s="46"/>
      <c r="E63" s="46"/>
      <c r="F63" s="46"/>
      <c r="G63" s="46"/>
      <c r="H63" s="46"/>
      <c r="I63" s="46"/>
      <c r="J63" s="46"/>
      <c r="K63" s="46"/>
      <c r="L63" s="46"/>
      <c r="M63" s="46"/>
      <c r="N63" s="46"/>
      <c r="O63" s="46"/>
      <c r="P63" s="46"/>
      <c r="Q63" s="46"/>
      <c r="R63" s="46"/>
      <c r="S63" s="46"/>
      <c r="T63" s="46"/>
      <c r="U63" s="46"/>
      <c r="V63" s="46"/>
      <c r="W63" s="46"/>
      <c r="X63" s="46"/>
      <c r="Y63" s="46"/>
      <c r="Z63" s="46"/>
    </row>
    <row r="64" spans="1:26" ht="11.25" customHeight="1">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P6:Q6"/>
  </mergeCells>
  <pageMargins left="0.7" right="0.7" top="0.75" bottom="0.75" header="0" footer="0"/>
  <pageSetup orientation="landscape"/>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000"/>
  <sheetViews>
    <sheetView workbookViewId="0"/>
  </sheetViews>
  <sheetFormatPr defaultColWidth="16.85546875" defaultRowHeight="15" customHeight="1"/>
  <cols>
    <col min="1" max="1" width="8.140625" customWidth="1"/>
    <col min="2" max="2" width="13.140625" customWidth="1"/>
    <col min="3" max="3" width="59.140625" customWidth="1"/>
    <col min="4" max="4" width="18.7109375" customWidth="1"/>
    <col min="5" max="5" width="12.28515625" customWidth="1"/>
    <col min="6" max="6" width="17.85546875" customWidth="1"/>
    <col min="7" max="7" width="14.140625" customWidth="1"/>
    <col min="8" max="8" width="16.42578125" customWidth="1"/>
    <col min="9" max="12" width="8" customWidth="1"/>
    <col min="13" max="13" width="18.85546875" customWidth="1"/>
  </cols>
  <sheetData>
    <row r="1" spans="1:8" ht="33" customHeight="1">
      <c r="A1" s="17" t="s">
        <v>819</v>
      </c>
      <c r="B1" s="171"/>
      <c r="D1" s="13"/>
      <c r="G1" s="14"/>
      <c r="H1" s="14"/>
    </row>
    <row r="2" spans="1:8" ht="80.25" customHeight="1"/>
    <row r="3" spans="1:8" ht="11.25" customHeight="1">
      <c r="D3" s="46" t="s">
        <v>820</v>
      </c>
    </row>
    <row r="4" spans="1:8" ht="12" customHeight="1"/>
    <row r="5" spans="1:8" ht="12" customHeight="1">
      <c r="B5" s="174"/>
      <c r="C5" s="176"/>
      <c r="D5" s="176"/>
      <c r="E5" s="176"/>
      <c r="F5" s="176"/>
      <c r="G5" s="176"/>
      <c r="H5" s="175"/>
    </row>
    <row r="6" spans="1:8" ht="12" customHeight="1">
      <c r="B6" s="182"/>
      <c r="C6" s="14"/>
      <c r="D6" s="14"/>
      <c r="E6" s="14"/>
      <c r="F6" s="14"/>
      <c r="G6" s="14"/>
      <c r="H6" s="197"/>
    </row>
    <row r="7" spans="1:8" ht="13.5" customHeight="1">
      <c r="B7" s="182"/>
      <c r="C7" s="886" t="s">
        <v>821</v>
      </c>
      <c r="D7" s="14"/>
      <c r="E7" s="14"/>
      <c r="F7" s="14"/>
      <c r="G7" s="14"/>
      <c r="H7" s="197"/>
    </row>
    <row r="8" spans="1:8" ht="12.75" customHeight="1">
      <c r="B8" s="182"/>
      <c r="C8" s="187"/>
      <c r="D8" s="190" t="s">
        <v>822</v>
      </c>
      <c r="E8" s="190" t="s">
        <v>823</v>
      </c>
      <c r="F8" s="190" t="s">
        <v>824</v>
      </c>
      <c r="G8" s="190" t="s">
        <v>825</v>
      </c>
      <c r="H8" s="197"/>
    </row>
    <row r="9" spans="1:8" ht="12.75" customHeight="1">
      <c r="B9" s="182"/>
      <c r="C9" s="187" t="s">
        <v>826</v>
      </c>
      <c r="D9" s="14"/>
      <c r="E9" s="14"/>
      <c r="F9" s="14"/>
      <c r="G9" s="14"/>
      <c r="H9" s="197"/>
    </row>
    <row r="10" spans="1:8" ht="11.25" customHeight="1">
      <c r="B10" s="182"/>
      <c r="C10" s="14"/>
      <c r="D10" s="14"/>
      <c r="E10" s="14"/>
      <c r="F10" s="14"/>
      <c r="G10" s="14"/>
      <c r="H10" s="197"/>
    </row>
    <row r="11" spans="1:8" ht="12.75" customHeight="1">
      <c r="B11" s="182"/>
      <c r="C11" s="187" t="s">
        <v>77</v>
      </c>
      <c r="D11" s="187">
        <v>2006</v>
      </c>
      <c r="E11" s="187">
        <v>2006</v>
      </c>
      <c r="F11" s="187">
        <v>2006</v>
      </c>
      <c r="G11" s="14"/>
      <c r="H11" s="197"/>
    </row>
    <row r="12" spans="1:8" ht="11.25" customHeight="1">
      <c r="B12" s="182"/>
      <c r="C12" s="14"/>
      <c r="D12" s="14"/>
      <c r="E12" s="14"/>
      <c r="F12" s="14"/>
      <c r="G12" s="14"/>
      <c r="H12" s="197"/>
    </row>
    <row r="13" spans="1:8" ht="12.75" customHeight="1">
      <c r="B13" s="182"/>
      <c r="C13" s="232" t="s">
        <v>827</v>
      </c>
      <c r="D13" s="196">
        <v>557447</v>
      </c>
      <c r="E13" s="196">
        <v>1917452</v>
      </c>
      <c r="F13" s="196">
        <v>218353</v>
      </c>
      <c r="G13" s="208">
        <f>SUM(D13:F13)</f>
        <v>2693252</v>
      </c>
      <c r="H13" s="197"/>
    </row>
    <row r="14" spans="1:8" ht="11.25" customHeight="1">
      <c r="B14" s="182"/>
      <c r="C14" s="14"/>
      <c r="D14" s="14"/>
      <c r="E14" s="14"/>
      <c r="F14" s="14"/>
      <c r="G14" s="14"/>
      <c r="H14" s="197"/>
    </row>
    <row r="15" spans="1:8" ht="15.75" customHeight="1">
      <c r="B15" s="182"/>
      <c r="C15" s="232" t="s">
        <v>828</v>
      </c>
      <c r="D15" s="14">
        <v>525</v>
      </c>
      <c r="E15" s="14">
        <v>540</v>
      </c>
      <c r="F15" s="14">
        <v>525</v>
      </c>
      <c r="G15" s="14"/>
      <c r="H15" s="197"/>
    </row>
    <row r="16" spans="1:8" ht="11.25" customHeight="1">
      <c r="B16" s="182"/>
      <c r="C16" s="14"/>
      <c r="D16" s="14"/>
      <c r="E16" s="14"/>
      <c r="F16" s="14"/>
      <c r="G16" s="14"/>
      <c r="H16" s="197"/>
    </row>
    <row r="17" spans="2:8" ht="15.75" customHeight="1">
      <c r="B17" s="182"/>
      <c r="C17" s="173" t="s">
        <v>829</v>
      </c>
      <c r="D17" s="206">
        <f t="shared" ref="D17:F17" si="0">(D13*D15)/1000</f>
        <v>292659.67499999999</v>
      </c>
      <c r="E17" s="206">
        <f t="shared" si="0"/>
        <v>1035424.08</v>
      </c>
      <c r="F17" s="206">
        <f t="shared" si="0"/>
        <v>114635.325</v>
      </c>
      <c r="G17" s="202">
        <f>SUM(D17:F17)</f>
        <v>1442719.0799999998</v>
      </c>
      <c r="H17" s="197"/>
    </row>
    <row r="18" spans="2:8" ht="12.75" customHeight="1">
      <c r="B18" s="182"/>
      <c r="C18" s="14"/>
      <c r="D18" s="14"/>
      <c r="E18" s="14"/>
      <c r="F18" s="14"/>
      <c r="G18" s="232"/>
      <c r="H18" s="197"/>
    </row>
    <row r="19" spans="2:8" ht="13.5" customHeight="1">
      <c r="B19" s="182"/>
      <c r="C19" s="14"/>
      <c r="D19" s="14"/>
      <c r="E19" s="14"/>
      <c r="F19" s="14"/>
      <c r="G19" s="232"/>
      <c r="H19" s="197"/>
    </row>
    <row r="20" spans="2:8" ht="15" customHeight="1">
      <c r="B20" s="182"/>
      <c r="C20" s="886" t="s">
        <v>830</v>
      </c>
      <c r="D20" s="14"/>
      <c r="E20" s="14"/>
      <c r="F20" s="14"/>
      <c r="G20" s="232"/>
      <c r="H20" s="197"/>
    </row>
    <row r="21" spans="2:8" ht="12.75" customHeight="1">
      <c r="B21" s="182"/>
      <c r="C21" s="14"/>
      <c r="D21" s="14"/>
      <c r="E21" s="14"/>
      <c r="F21" s="14"/>
      <c r="G21" s="232"/>
      <c r="H21" s="197"/>
    </row>
    <row r="22" spans="2:8" ht="12.75" customHeight="1">
      <c r="B22" s="182"/>
      <c r="C22" s="14"/>
      <c r="D22" s="14"/>
      <c r="E22" s="14"/>
      <c r="F22" s="14"/>
      <c r="G22" s="232"/>
      <c r="H22" s="197"/>
    </row>
    <row r="23" spans="2:8" ht="12.75" customHeight="1">
      <c r="B23" s="182"/>
      <c r="C23" s="232" t="s">
        <v>831</v>
      </c>
      <c r="D23" s="196">
        <v>17474</v>
      </c>
      <c r="E23" s="14">
        <v>0</v>
      </c>
      <c r="F23" s="196">
        <v>699.45</v>
      </c>
      <c r="G23" s="202">
        <f>SUM(D23:F23)</f>
        <v>18173.45</v>
      </c>
      <c r="H23" s="197"/>
    </row>
    <row r="24" spans="2:8" ht="12.75" customHeight="1">
      <c r="B24" s="182"/>
      <c r="C24" s="14"/>
      <c r="D24" s="14"/>
      <c r="E24" s="14"/>
      <c r="F24" s="14"/>
      <c r="G24" s="232"/>
      <c r="H24" s="197"/>
    </row>
    <row r="25" spans="2:8" ht="15.75" customHeight="1">
      <c r="B25" s="182"/>
      <c r="C25" s="232" t="s">
        <v>832</v>
      </c>
      <c r="D25" s="14">
        <f t="shared" ref="D25:F25" si="1">525/1000</f>
        <v>0.52500000000000002</v>
      </c>
      <c r="E25" s="14">
        <f t="shared" si="1"/>
        <v>0.52500000000000002</v>
      </c>
      <c r="F25" s="14">
        <f t="shared" si="1"/>
        <v>0.52500000000000002</v>
      </c>
      <c r="G25" s="232"/>
      <c r="H25" s="197"/>
    </row>
    <row r="26" spans="2:8" ht="12.75" customHeight="1">
      <c r="B26" s="182"/>
      <c r="C26" s="232"/>
      <c r="D26" s="14"/>
      <c r="E26" s="14"/>
      <c r="F26" s="14"/>
      <c r="G26" s="232"/>
      <c r="H26" s="197"/>
    </row>
    <row r="27" spans="2:8" ht="12.75" customHeight="1">
      <c r="B27" s="182"/>
      <c r="C27" s="232" t="s">
        <v>833</v>
      </c>
      <c r="D27" s="887">
        <v>1</v>
      </c>
      <c r="E27" s="887">
        <v>1</v>
      </c>
      <c r="F27" s="887">
        <v>1</v>
      </c>
      <c r="G27" s="232"/>
      <c r="H27" s="197"/>
    </row>
    <row r="28" spans="2:8" ht="12.75" customHeight="1">
      <c r="B28" s="182"/>
      <c r="C28" s="14"/>
      <c r="D28" s="14"/>
      <c r="E28" s="14"/>
      <c r="F28" s="14"/>
      <c r="G28" s="232"/>
      <c r="H28" s="197"/>
    </row>
    <row r="29" spans="2:8" ht="15.75" customHeight="1">
      <c r="B29" s="182"/>
      <c r="C29" s="173" t="s">
        <v>834</v>
      </c>
      <c r="D29" s="206">
        <f>D23*D25*D27</f>
        <v>9173.85</v>
      </c>
      <c r="E29" s="206">
        <v>0</v>
      </c>
      <c r="F29" s="206">
        <f>F23*F25*F27</f>
        <v>367.21125000000006</v>
      </c>
      <c r="G29" s="202">
        <f>SUM(D29:F29)</f>
        <v>9541.0612500000007</v>
      </c>
      <c r="H29" s="197"/>
    </row>
    <row r="30" spans="2:8" ht="11.25" customHeight="1">
      <c r="B30" s="182"/>
      <c r="C30" s="14"/>
      <c r="D30" s="14"/>
      <c r="E30" s="14"/>
      <c r="F30" s="14"/>
      <c r="G30" s="14"/>
      <c r="H30" s="197"/>
    </row>
    <row r="31" spans="2:8" ht="12" customHeight="1">
      <c r="B31" s="182"/>
      <c r="C31" s="14"/>
      <c r="D31" s="14"/>
      <c r="E31" s="14"/>
      <c r="F31" s="14"/>
      <c r="G31" s="14"/>
      <c r="H31" s="197"/>
    </row>
    <row r="32" spans="2:8" ht="15" customHeight="1">
      <c r="B32" s="182"/>
      <c r="C32" s="886" t="s">
        <v>835</v>
      </c>
      <c r="D32" s="14"/>
      <c r="E32" s="14"/>
      <c r="F32" s="14"/>
      <c r="G32" s="14"/>
      <c r="H32" s="197"/>
    </row>
    <row r="33" spans="2:8" ht="11.25" customHeight="1">
      <c r="B33" s="182"/>
      <c r="C33" s="14"/>
      <c r="D33" s="14"/>
      <c r="E33" s="14"/>
      <c r="F33" s="14"/>
      <c r="G33" s="14"/>
      <c r="H33" s="197"/>
    </row>
    <row r="34" spans="2:8" ht="11.25" customHeight="1">
      <c r="B34" s="182"/>
      <c r="C34" s="14"/>
      <c r="D34" s="14"/>
      <c r="E34" s="14"/>
      <c r="F34" s="14"/>
      <c r="G34" s="14"/>
      <c r="H34" s="197"/>
    </row>
    <row r="35" spans="2:8" ht="12.75" customHeight="1">
      <c r="B35" s="182"/>
      <c r="C35" s="232" t="s">
        <v>827</v>
      </c>
      <c r="D35" s="196">
        <v>557447</v>
      </c>
      <c r="E35" s="196">
        <v>1917452</v>
      </c>
      <c r="F35" s="196">
        <v>218353</v>
      </c>
      <c r="G35" s="14"/>
      <c r="H35" s="197"/>
    </row>
    <row r="36" spans="2:8" ht="12.75" customHeight="1">
      <c r="B36" s="182"/>
      <c r="C36" s="232"/>
      <c r="D36" s="196"/>
      <c r="E36" s="14"/>
      <c r="F36" s="14"/>
      <c r="G36" s="14"/>
      <c r="H36" s="197"/>
    </row>
    <row r="37" spans="2:8" ht="12.75" customHeight="1">
      <c r="B37" s="182"/>
      <c r="C37" s="232" t="s">
        <v>836</v>
      </c>
      <c r="D37" s="201">
        <v>1.55</v>
      </c>
      <c r="E37" s="201">
        <v>1.55</v>
      </c>
      <c r="F37" s="201">
        <v>1.78</v>
      </c>
      <c r="G37" s="14"/>
      <c r="H37" s="197"/>
    </row>
    <row r="38" spans="2:8" ht="12.75" customHeight="1">
      <c r="B38" s="182"/>
      <c r="C38" s="232"/>
      <c r="D38" s="196"/>
      <c r="E38" s="196"/>
      <c r="F38" s="196"/>
      <c r="G38" s="14"/>
      <c r="H38" s="197"/>
    </row>
    <row r="39" spans="2:8" ht="12.75" customHeight="1">
      <c r="B39" s="182"/>
      <c r="C39" s="232" t="s">
        <v>837</v>
      </c>
      <c r="D39" s="196">
        <f t="shared" ref="D39:F39" si="2">D35*D37</f>
        <v>864042.85</v>
      </c>
      <c r="E39" s="196">
        <f t="shared" si="2"/>
        <v>2972050.6</v>
      </c>
      <c r="F39" s="196">
        <f t="shared" si="2"/>
        <v>388668.34</v>
      </c>
      <c r="G39" s="14"/>
      <c r="H39" s="197"/>
    </row>
    <row r="40" spans="2:8" ht="11.25" customHeight="1">
      <c r="B40" s="182"/>
      <c r="C40" s="14"/>
      <c r="D40" s="14"/>
      <c r="E40" s="14"/>
      <c r="F40" s="14"/>
      <c r="G40" s="14"/>
      <c r="H40" s="197"/>
    </row>
    <row r="41" spans="2:8" ht="12.75" customHeight="1">
      <c r="B41" s="182"/>
      <c r="C41" s="232" t="s">
        <v>838</v>
      </c>
      <c r="D41" s="888">
        <v>2E-3</v>
      </c>
      <c r="E41" s="888">
        <v>2E-3</v>
      </c>
      <c r="F41" s="888">
        <v>2E-3</v>
      </c>
      <c r="G41" s="14"/>
      <c r="H41" s="197"/>
    </row>
    <row r="42" spans="2:8" ht="11.25" customHeight="1">
      <c r="B42" s="182"/>
      <c r="C42" s="14"/>
      <c r="D42" s="14"/>
      <c r="E42" s="14"/>
      <c r="F42" s="14"/>
      <c r="G42" s="14"/>
      <c r="H42" s="197"/>
    </row>
    <row r="43" spans="2:8" ht="15.75" customHeight="1">
      <c r="B43" s="182"/>
      <c r="C43" s="173" t="s">
        <v>839</v>
      </c>
      <c r="D43" s="206">
        <f t="shared" ref="D43:F43" si="3">(D39*D41)*(44/12)</f>
        <v>6336.3142333333335</v>
      </c>
      <c r="E43" s="206">
        <f t="shared" si="3"/>
        <v>21795.037733333334</v>
      </c>
      <c r="F43" s="206">
        <f t="shared" si="3"/>
        <v>2850.2344933333338</v>
      </c>
      <c r="G43" s="202">
        <f>SUM(D43:F43)</f>
        <v>30981.586460000002</v>
      </c>
      <c r="H43" s="197"/>
    </row>
    <row r="44" spans="2:8" ht="11.25" customHeight="1">
      <c r="B44" s="182"/>
      <c r="C44" s="14"/>
      <c r="D44" s="14"/>
      <c r="E44" s="14"/>
      <c r="F44" s="14"/>
      <c r="G44" s="14"/>
      <c r="H44" s="197"/>
    </row>
    <row r="45" spans="2:8" ht="11.25" customHeight="1">
      <c r="B45" s="182"/>
      <c r="C45" s="14"/>
      <c r="D45" s="14"/>
      <c r="E45" s="14"/>
      <c r="F45" s="14"/>
      <c r="G45" s="14"/>
      <c r="H45" s="197"/>
    </row>
    <row r="46" spans="2:8" ht="15.75" customHeight="1">
      <c r="B46" s="182"/>
      <c r="C46" s="1723" t="s">
        <v>840</v>
      </c>
      <c r="D46" s="1660"/>
      <c r="E46" s="1660"/>
      <c r="F46" s="1660"/>
      <c r="G46" s="208">
        <f>G17+G29+G43</f>
        <v>1483241.7277099998</v>
      </c>
      <c r="H46" s="197"/>
    </row>
    <row r="47" spans="2:8" ht="11.25" customHeight="1">
      <c r="B47" s="182"/>
      <c r="C47" s="14"/>
      <c r="D47" s="14"/>
      <c r="E47" s="14"/>
      <c r="F47" s="14"/>
      <c r="G47" s="14"/>
      <c r="H47" s="197"/>
    </row>
    <row r="48" spans="2:8" ht="15.75" customHeight="1">
      <c r="B48" s="182"/>
      <c r="C48" s="1724" t="s">
        <v>841</v>
      </c>
      <c r="D48" s="1660"/>
      <c r="E48" s="1660"/>
      <c r="F48" s="1660"/>
      <c r="G48" s="890">
        <f>G46/1000000</f>
        <v>1.4832417277099998</v>
      </c>
      <c r="H48" s="197"/>
    </row>
    <row r="49" spans="1:13" ht="11.25" customHeight="1">
      <c r="B49" s="182"/>
      <c r="C49" s="14"/>
      <c r="D49" s="14"/>
      <c r="E49" s="14"/>
      <c r="F49" s="14"/>
      <c r="G49" s="14"/>
      <c r="H49" s="197"/>
    </row>
    <row r="50" spans="1:13" ht="12" customHeight="1">
      <c r="B50" s="217"/>
      <c r="C50" s="218"/>
      <c r="D50" s="218"/>
      <c r="E50" s="218"/>
      <c r="F50" s="218"/>
      <c r="G50" s="218"/>
      <c r="H50" s="219"/>
    </row>
    <row r="51" spans="1:13" ht="12" customHeight="1"/>
    <row r="52" spans="1:13" ht="11.25" customHeight="1"/>
    <row r="53" spans="1:13" ht="11.25" customHeight="1"/>
    <row r="54" spans="1:13" ht="11.25" customHeight="1"/>
    <row r="55" spans="1:13" ht="11.25" customHeight="1"/>
    <row r="56" spans="1:13" ht="11.25" customHeight="1"/>
    <row r="57" spans="1:13" ht="11.25" customHeight="1"/>
    <row r="58" spans="1:13" ht="11.25" customHeight="1"/>
    <row r="59" spans="1:13" ht="11.25" customHeight="1"/>
    <row r="60" spans="1:13" ht="12.75" customHeight="1">
      <c r="D60" s="187" t="s">
        <v>842</v>
      </c>
    </row>
    <row r="61" spans="1:13" ht="11.25" customHeight="1"/>
    <row r="62" spans="1:13" ht="12" customHeight="1"/>
    <row r="63" spans="1:13" ht="19.5" customHeight="1">
      <c r="A63" s="14"/>
      <c r="B63" s="891" t="s">
        <v>843</v>
      </c>
      <c r="C63" s="892"/>
      <c r="D63" s="892" t="s">
        <v>451</v>
      </c>
      <c r="E63" s="893"/>
      <c r="F63" s="892" t="s">
        <v>95</v>
      </c>
      <c r="G63" s="893"/>
      <c r="H63" s="894" t="s">
        <v>844</v>
      </c>
      <c r="I63" s="893"/>
      <c r="J63" s="892" t="s">
        <v>95</v>
      </c>
      <c r="K63" s="893"/>
      <c r="L63" s="892" t="s">
        <v>95</v>
      </c>
      <c r="M63" s="892" t="s">
        <v>95</v>
      </c>
    </row>
    <row r="64" spans="1:13" ht="11.25" customHeight="1">
      <c r="A64" s="895"/>
      <c r="B64" s="896" t="s">
        <v>845</v>
      </c>
      <c r="C64" s="274"/>
      <c r="D64" s="833" t="s">
        <v>846</v>
      </c>
      <c r="E64" s="833"/>
      <c r="F64" s="833" t="s">
        <v>847</v>
      </c>
      <c r="G64" s="833"/>
      <c r="H64" s="833" t="s">
        <v>848</v>
      </c>
      <c r="I64" s="833"/>
      <c r="J64" s="833" t="s">
        <v>849</v>
      </c>
      <c r="K64" s="274"/>
      <c r="L64" s="833" t="s">
        <v>850</v>
      </c>
      <c r="M64" s="833" t="s">
        <v>851</v>
      </c>
    </row>
    <row r="65" spans="2:13" ht="11.25" customHeight="1">
      <c r="B65" s="897"/>
      <c r="C65" s="274"/>
      <c r="D65" s="274"/>
      <c r="E65" s="274"/>
      <c r="F65" s="274"/>
      <c r="G65" s="274"/>
      <c r="H65" s="274"/>
      <c r="I65" s="274"/>
      <c r="J65" s="274"/>
      <c r="K65" s="274"/>
      <c r="L65" s="274"/>
      <c r="M65" s="898"/>
    </row>
    <row r="66" spans="2:13" ht="11.25" customHeight="1">
      <c r="B66" s="899">
        <f>G13</f>
        <v>2693252</v>
      </c>
      <c r="C66" s="55" t="s">
        <v>57</v>
      </c>
      <c r="D66" s="56">
        <v>0.50696255349500718</v>
      </c>
      <c r="E66" s="57" t="s">
        <v>58</v>
      </c>
      <c r="F66" s="58">
        <f>B66*D66</f>
        <v>1365377.9111255351</v>
      </c>
      <c r="G66" s="57" t="s">
        <v>852</v>
      </c>
      <c r="H66" s="58">
        <f>F66*20%</f>
        <v>273075.58222510706</v>
      </c>
      <c r="I66" s="57" t="s">
        <v>58</v>
      </c>
      <c r="J66" s="58">
        <f>L66*(12/44)</f>
        <v>446850.95273199334</v>
      </c>
      <c r="K66" s="57" t="s">
        <v>58</v>
      </c>
      <c r="L66" s="58">
        <f>F66+H66</f>
        <v>1638453.4933506423</v>
      </c>
      <c r="M66" s="900">
        <f>L66/1000000</f>
        <v>1.6384534933506423</v>
      </c>
    </row>
    <row r="67" spans="2:13" ht="11.25" customHeight="1">
      <c r="B67" s="897" t="s">
        <v>853</v>
      </c>
      <c r="C67" s="274"/>
      <c r="D67" s="274"/>
      <c r="E67" s="274"/>
      <c r="F67" s="274"/>
      <c r="G67" s="274"/>
      <c r="H67" s="274"/>
      <c r="I67" s="274"/>
      <c r="J67" s="274"/>
      <c r="K67" s="274"/>
      <c r="L67" s="274"/>
      <c r="M67" s="898"/>
    </row>
    <row r="68" spans="2:13" ht="12" customHeight="1">
      <c r="B68" s="901"/>
      <c r="C68" s="902"/>
      <c r="D68" s="902"/>
      <c r="E68" s="902"/>
      <c r="F68" s="902"/>
      <c r="G68" s="902"/>
      <c r="H68" s="902"/>
      <c r="I68" s="902"/>
      <c r="J68" s="902"/>
      <c r="K68" s="902"/>
      <c r="L68" s="902"/>
      <c r="M68" s="903"/>
    </row>
    <row r="69" spans="2:13" ht="12" customHeight="1"/>
    <row r="70" spans="2:13" ht="11.25" customHeight="1"/>
    <row r="71" spans="2:13" ht="11.25" customHeight="1"/>
    <row r="72" spans="2:13" ht="11.25" customHeight="1"/>
    <row r="73" spans="2:13" ht="11.25" customHeight="1"/>
    <row r="74" spans="2:13" ht="11.25" customHeight="1"/>
    <row r="75" spans="2:13" ht="11.25" customHeight="1"/>
    <row r="76" spans="2:13" ht="12" customHeight="1"/>
    <row r="77" spans="2:13" ht="12" customHeight="1">
      <c r="B77" s="197"/>
      <c r="C77" s="904"/>
      <c r="D77" s="905"/>
      <c r="E77" s="14"/>
      <c r="F77" s="14"/>
      <c r="G77" s="14"/>
      <c r="H77" s="14"/>
    </row>
    <row r="78" spans="2:13" ht="12.75" customHeight="1">
      <c r="B78" s="197"/>
      <c r="C78" s="906" t="s">
        <v>821</v>
      </c>
      <c r="D78" s="768"/>
      <c r="E78" s="14"/>
      <c r="F78" s="14"/>
      <c r="G78" s="14"/>
      <c r="H78" s="14"/>
    </row>
    <row r="79" spans="2:13" ht="12.75" customHeight="1">
      <c r="B79" s="197"/>
      <c r="C79" s="273"/>
      <c r="D79" s="907" t="s">
        <v>825</v>
      </c>
      <c r="E79" s="187"/>
      <c r="F79" s="187"/>
      <c r="G79" s="14"/>
      <c r="H79" s="14"/>
    </row>
    <row r="80" spans="2:13" ht="12.75" customHeight="1">
      <c r="B80" s="197"/>
      <c r="C80" s="273" t="s">
        <v>77</v>
      </c>
      <c r="D80" s="908">
        <v>2006</v>
      </c>
      <c r="E80" s="187"/>
      <c r="F80" s="187"/>
      <c r="G80" s="14"/>
      <c r="H80" s="14"/>
    </row>
    <row r="81" spans="2:8" ht="11.25" customHeight="1">
      <c r="B81" s="197"/>
      <c r="C81" s="268"/>
      <c r="D81" s="909"/>
      <c r="E81" s="14"/>
      <c r="F81" s="14"/>
      <c r="G81" s="14"/>
      <c r="H81" s="14"/>
    </row>
    <row r="82" spans="2:8" ht="12.75" customHeight="1">
      <c r="B82" s="197"/>
      <c r="C82" s="263" t="s">
        <v>827</v>
      </c>
      <c r="D82" s="910">
        <v>2693252</v>
      </c>
      <c r="E82" s="196"/>
      <c r="F82" s="196"/>
      <c r="G82" s="14"/>
      <c r="H82" s="14"/>
    </row>
    <row r="83" spans="2:8" ht="11.25" customHeight="1">
      <c r="B83" s="197"/>
      <c r="C83" s="268"/>
      <c r="D83" s="909"/>
      <c r="E83" s="14"/>
      <c r="F83" s="14"/>
      <c r="G83" s="14"/>
      <c r="H83" s="14"/>
    </row>
    <row r="84" spans="2:8" ht="15.75" customHeight="1">
      <c r="B84" s="197"/>
      <c r="C84" s="263" t="s">
        <v>854</v>
      </c>
      <c r="D84" s="909">
        <v>530</v>
      </c>
      <c r="E84" s="14"/>
      <c r="F84" s="14"/>
      <c r="G84" s="14"/>
      <c r="H84" s="14"/>
    </row>
    <row r="85" spans="2:8" ht="11.25" customHeight="1">
      <c r="B85" s="197"/>
      <c r="C85" s="268"/>
      <c r="D85" s="909"/>
      <c r="E85" s="14"/>
      <c r="F85" s="14"/>
      <c r="G85" s="14"/>
      <c r="H85" s="14"/>
    </row>
    <row r="86" spans="2:8" ht="15.75" customHeight="1">
      <c r="B86" s="197"/>
      <c r="C86" s="911" t="s">
        <v>855</v>
      </c>
      <c r="D86" s="912">
        <v>1442719.08</v>
      </c>
      <c r="E86" s="206"/>
      <c r="F86" s="206"/>
      <c r="G86" s="14"/>
      <c r="H86" s="913"/>
    </row>
    <row r="87" spans="2:8" ht="12.75" customHeight="1">
      <c r="B87" s="197"/>
      <c r="C87" s="268"/>
      <c r="D87" s="914"/>
      <c r="E87" s="14"/>
      <c r="F87" s="14"/>
      <c r="G87" s="14"/>
      <c r="H87" s="14"/>
    </row>
    <row r="88" spans="2:8" ht="14.25" customHeight="1">
      <c r="B88" s="197"/>
      <c r="C88" s="906" t="s">
        <v>856</v>
      </c>
      <c r="D88" s="914"/>
      <c r="E88" s="14"/>
      <c r="F88" s="14"/>
      <c r="G88" s="14"/>
      <c r="H88" s="14"/>
    </row>
    <row r="89" spans="2:8" ht="12.75" customHeight="1">
      <c r="B89" s="197"/>
      <c r="C89" s="268"/>
      <c r="D89" s="914"/>
      <c r="E89" s="14"/>
      <c r="F89" s="14"/>
      <c r="G89" s="14"/>
      <c r="H89" s="14"/>
    </row>
    <row r="90" spans="2:8" ht="12.75" customHeight="1">
      <c r="B90" s="197"/>
      <c r="C90" s="263" t="s">
        <v>831</v>
      </c>
      <c r="D90" s="912">
        <v>18173.45</v>
      </c>
      <c r="E90" s="14"/>
      <c r="F90" s="196"/>
      <c r="G90" s="14"/>
      <c r="H90" s="14"/>
    </row>
    <row r="91" spans="2:8" ht="12.75" customHeight="1">
      <c r="B91" s="197"/>
      <c r="C91" s="268"/>
      <c r="D91" s="914"/>
      <c r="E91" s="14"/>
      <c r="F91" s="14"/>
      <c r="G91" s="14"/>
      <c r="H91" s="14"/>
    </row>
    <row r="92" spans="2:8" ht="15.75" customHeight="1">
      <c r="B92" s="197"/>
      <c r="C92" s="263" t="s">
        <v>857</v>
      </c>
      <c r="D92" s="909">
        <v>0.52500000000000002</v>
      </c>
      <c r="E92" s="14"/>
      <c r="F92" s="14"/>
      <c r="G92" s="14"/>
      <c r="H92" s="14"/>
    </row>
    <row r="93" spans="2:8" ht="12.75" customHeight="1">
      <c r="B93" s="197"/>
      <c r="C93" s="263"/>
      <c r="D93" s="914"/>
      <c r="E93" s="14"/>
      <c r="F93" s="14"/>
      <c r="G93" s="14"/>
      <c r="H93" s="14"/>
    </row>
    <row r="94" spans="2:8" ht="12.75" customHeight="1">
      <c r="B94" s="197"/>
      <c r="C94" s="263" t="s">
        <v>833</v>
      </c>
      <c r="D94" s="915">
        <v>1</v>
      </c>
      <c r="E94" s="887"/>
      <c r="F94" s="887"/>
      <c r="G94" s="14"/>
      <c r="H94" s="14"/>
    </row>
    <row r="95" spans="2:8" ht="12.75" customHeight="1">
      <c r="B95" s="197"/>
      <c r="C95" s="268"/>
      <c r="D95" s="914"/>
      <c r="E95" s="14"/>
      <c r="F95" s="14"/>
      <c r="G95" s="14"/>
      <c r="H95" s="14"/>
    </row>
    <row r="96" spans="2:8" ht="15.75" customHeight="1">
      <c r="B96" s="197"/>
      <c r="C96" s="911" t="s">
        <v>858</v>
      </c>
      <c r="D96" s="912">
        <v>9541.0612500000007</v>
      </c>
      <c r="E96" s="206"/>
      <c r="F96" s="206"/>
      <c r="G96" s="14"/>
      <c r="H96" s="201"/>
    </row>
    <row r="97" spans="2:8" ht="11.25" customHeight="1">
      <c r="B97" s="197"/>
      <c r="C97" s="268"/>
      <c r="D97" s="909"/>
      <c r="E97" s="14"/>
      <c r="F97" s="14"/>
      <c r="G97" s="14"/>
      <c r="H97" s="14"/>
    </row>
    <row r="98" spans="2:8" ht="14.25" customHeight="1">
      <c r="B98" s="197"/>
      <c r="C98" s="906" t="s">
        <v>859</v>
      </c>
      <c r="D98" s="909"/>
      <c r="E98" s="14"/>
      <c r="F98" s="14"/>
      <c r="G98" s="14"/>
      <c r="H98" s="14"/>
    </row>
    <row r="99" spans="2:8" ht="11.25" customHeight="1">
      <c r="B99" s="197"/>
      <c r="C99" s="268"/>
      <c r="D99" s="909"/>
      <c r="E99" s="14"/>
      <c r="F99" s="14"/>
      <c r="G99" s="14"/>
      <c r="H99" s="14"/>
    </row>
    <row r="100" spans="2:8" ht="12.75" customHeight="1">
      <c r="B100" s="197"/>
      <c r="C100" s="263" t="s">
        <v>827</v>
      </c>
      <c r="D100" s="916">
        <v>2693252</v>
      </c>
      <c r="E100" s="196"/>
      <c r="F100" s="196"/>
      <c r="G100" s="14"/>
      <c r="H100" s="14"/>
    </row>
    <row r="101" spans="2:8" ht="12.75" customHeight="1">
      <c r="B101" s="197"/>
      <c r="C101" s="263"/>
      <c r="D101" s="909"/>
      <c r="E101" s="14"/>
      <c r="F101" s="14"/>
      <c r="G101" s="14"/>
      <c r="H101" s="14"/>
    </row>
    <row r="102" spans="2:8" ht="12.75" customHeight="1">
      <c r="B102" s="197"/>
      <c r="C102" s="263" t="s">
        <v>836</v>
      </c>
      <c r="D102" s="917">
        <v>1.6266666666666667</v>
      </c>
      <c r="E102" s="201"/>
      <c r="F102" s="201"/>
      <c r="G102" s="14"/>
      <c r="H102" s="14"/>
    </row>
    <row r="103" spans="2:8" ht="12.75" customHeight="1">
      <c r="B103" s="197"/>
      <c r="C103" s="263"/>
      <c r="D103" s="909"/>
      <c r="E103" s="196"/>
      <c r="F103" s="196"/>
      <c r="G103" s="14"/>
      <c r="H103" s="14"/>
    </row>
    <row r="104" spans="2:8" ht="12.75" customHeight="1">
      <c r="B104" s="197"/>
      <c r="C104" s="263" t="s">
        <v>837</v>
      </c>
      <c r="D104" s="916">
        <v>4381023.2533333339</v>
      </c>
      <c r="E104" s="196"/>
      <c r="F104" s="196"/>
      <c r="G104" s="14"/>
      <c r="H104" s="14"/>
    </row>
    <row r="105" spans="2:8" ht="11.25" customHeight="1">
      <c r="B105" s="197"/>
      <c r="C105" s="268"/>
      <c r="D105" s="909"/>
      <c r="E105" s="14"/>
      <c r="F105" s="14"/>
      <c r="G105" s="14"/>
      <c r="H105" s="14"/>
    </row>
    <row r="106" spans="2:8" ht="12.75" customHeight="1">
      <c r="B106" s="197"/>
      <c r="C106" s="263" t="s">
        <v>838</v>
      </c>
      <c r="D106" s="918">
        <v>2E-3</v>
      </c>
      <c r="E106" s="888"/>
      <c r="F106" s="888"/>
      <c r="G106" s="14"/>
      <c r="H106" s="14"/>
    </row>
    <row r="107" spans="2:8" ht="11.25" customHeight="1">
      <c r="B107" s="197"/>
      <c r="C107" s="268"/>
      <c r="D107" s="909"/>
      <c r="E107" s="14"/>
      <c r="F107" s="14"/>
      <c r="G107" s="14"/>
      <c r="H107" s="14"/>
    </row>
    <row r="108" spans="2:8" ht="15.75" customHeight="1">
      <c r="B108" s="197"/>
      <c r="C108" s="911" t="s">
        <v>860</v>
      </c>
      <c r="D108" s="912">
        <v>30981.586460000002</v>
      </c>
      <c r="E108" s="206"/>
      <c r="F108" s="206"/>
      <c r="G108" s="14"/>
      <c r="H108" s="201"/>
    </row>
    <row r="109" spans="2:8" ht="11.25" customHeight="1">
      <c r="B109" s="197"/>
      <c r="C109" s="268"/>
      <c r="D109" s="909"/>
      <c r="E109" s="14"/>
      <c r="F109" s="14"/>
      <c r="G109" s="14"/>
      <c r="H109" s="14"/>
    </row>
    <row r="110" spans="2:8" ht="15.75" customHeight="1">
      <c r="B110" s="197"/>
      <c r="C110" s="268" t="s">
        <v>861</v>
      </c>
      <c r="D110" s="910">
        <v>1483241.7277099998</v>
      </c>
      <c r="E110" s="14"/>
      <c r="F110" s="14"/>
      <c r="G110" s="14"/>
      <c r="H110" s="208"/>
    </row>
    <row r="111" spans="2:8" ht="11.25" customHeight="1">
      <c r="B111" s="197"/>
      <c r="C111" s="268"/>
      <c r="D111" s="909"/>
      <c r="E111" s="14"/>
      <c r="F111" s="14"/>
      <c r="G111" s="14"/>
      <c r="H111" s="14"/>
    </row>
    <row r="112" spans="2:8" ht="15.75" customHeight="1">
      <c r="B112" s="197"/>
      <c r="C112" s="919" t="s">
        <v>862</v>
      </c>
      <c r="D112" s="920">
        <v>1.4832417277099998</v>
      </c>
      <c r="E112" s="889"/>
      <c r="F112" s="889"/>
      <c r="G112" s="14"/>
      <c r="H112" s="14"/>
    </row>
    <row r="113" spans="2:8" ht="12" customHeight="1">
      <c r="B113" s="197"/>
      <c r="C113" s="275"/>
      <c r="D113" s="277"/>
      <c r="E113" s="14"/>
      <c r="F113" s="14"/>
      <c r="G113" s="14"/>
      <c r="H113" s="14"/>
    </row>
    <row r="114" spans="2:8" ht="12" customHeight="1"/>
    <row r="115" spans="2:8" ht="11.25" customHeight="1"/>
    <row r="116" spans="2:8" ht="11.25" customHeight="1"/>
    <row r="117" spans="2:8" ht="11.25" customHeight="1"/>
    <row r="118" spans="2:8" ht="11.25" customHeight="1"/>
    <row r="119" spans="2:8" ht="11.25" customHeight="1"/>
    <row r="120" spans="2:8" ht="11.25" customHeight="1"/>
    <row r="121" spans="2:8" ht="11.25" customHeight="1"/>
    <row r="122" spans="2:8" ht="11.25" customHeight="1"/>
    <row r="123" spans="2:8" ht="11.25" customHeight="1"/>
    <row r="124" spans="2:8" ht="11.25" customHeight="1"/>
    <row r="125" spans="2:8" ht="11.25" customHeight="1"/>
    <row r="126" spans="2:8" ht="11.25" customHeight="1"/>
    <row r="127" spans="2:8" ht="11.25" customHeight="1"/>
    <row r="128" spans="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C46:F46"/>
    <mergeCell ref="C48:F48"/>
  </mergeCells>
  <pageMargins left="0.7" right="0.7" top="0.75" bottom="0.75" header="0" footer="0"/>
  <pageSetup orientation="landscape"/>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000"/>
  <sheetViews>
    <sheetView workbookViewId="0"/>
  </sheetViews>
  <sheetFormatPr defaultColWidth="16.85546875" defaultRowHeight="15" customHeight="1"/>
  <cols>
    <col min="1" max="2" width="8" customWidth="1"/>
    <col min="3" max="3" width="34" customWidth="1"/>
    <col min="4" max="4" width="19.7109375" customWidth="1"/>
    <col min="5" max="5" width="3.85546875" customWidth="1"/>
    <col min="6" max="6" width="15.85546875" customWidth="1"/>
    <col min="7" max="7" width="3.85546875" customWidth="1"/>
    <col min="8" max="8" width="12.42578125" customWidth="1"/>
    <col min="9" max="9" width="3.85546875" customWidth="1"/>
    <col min="10" max="10" width="13.42578125" customWidth="1"/>
    <col min="11" max="11" width="8" customWidth="1"/>
    <col min="12" max="12" width="15.7109375" customWidth="1"/>
    <col min="13" max="14" width="8" customWidth="1"/>
    <col min="15" max="15" width="14.140625" customWidth="1"/>
    <col min="16" max="18" width="8" customWidth="1"/>
    <col min="19" max="19" width="28.42578125" customWidth="1"/>
    <col min="20" max="34" width="8" customWidth="1"/>
  </cols>
  <sheetData>
    <row r="1" spans="1:34" ht="33" customHeight="1">
      <c r="A1" s="12" t="s">
        <v>50</v>
      </c>
      <c r="N1" s="13"/>
    </row>
    <row r="2" spans="1:34" ht="213.75" customHeight="1">
      <c r="A2" s="14"/>
      <c r="B2" s="15"/>
      <c r="C2" s="16"/>
      <c r="D2" s="16"/>
      <c r="E2" s="16"/>
      <c r="F2" s="16"/>
      <c r="G2" s="16"/>
      <c r="H2" s="16"/>
      <c r="I2" s="16"/>
      <c r="J2" s="16"/>
      <c r="K2" s="16"/>
      <c r="L2" s="16"/>
      <c r="M2" s="14"/>
      <c r="N2" s="14"/>
      <c r="O2" s="14"/>
      <c r="P2" s="14"/>
      <c r="Q2" s="14"/>
      <c r="R2" s="14"/>
      <c r="S2" s="14"/>
      <c r="T2" s="14"/>
      <c r="U2" s="14"/>
      <c r="V2" s="14"/>
      <c r="W2" s="14"/>
      <c r="X2" s="14"/>
      <c r="Y2" s="14"/>
      <c r="Z2" s="14"/>
      <c r="AA2" s="14"/>
      <c r="AB2" s="14"/>
      <c r="AC2" s="14"/>
      <c r="AD2" s="14"/>
      <c r="AE2" s="14"/>
      <c r="AF2" s="14"/>
      <c r="AG2" s="14"/>
      <c r="AH2" s="14"/>
    </row>
    <row r="3" spans="1:34" ht="21" customHeight="1">
      <c r="A3" s="14"/>
      <c r="B3" s="14"/>
      <c r="C3" s="17" t="s">
        <v>51</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ht="36" customHeight="1">
      <c r="A4" s="18"/>
      <c r="B4" s="18"/>
      <c r="C4" s="19"/>
      <c r="D4" s="20" t="s">
        <v>52</v>
      </c>
      <c r="E4" s="21"/>
      <c r="F4" s="22" t="s">
        <v>53</v>
      </c>
      <c r="G4" s="19"/>
      <c r="H4" s="22" t="s">
        <v>54</v>
      </c>
      <c r="I4" s="19"/>
      <c r="J4" s="22" t="s">
        <v>55</v>
      </c>
      <c r="K4" s="18"/>
      <c r="L4" s="18"/>
      <c r="M4" s="18"/>
      <c r="N4" s="18"/>
      <c r="O4" s="1663" t="s">
        <v>1</v>
      </c>
      <c r="P4" s="1664"/>
      <c r="Q4" s="18"/>
      <c r="R4" s="18"/>
      <c r="S4" s="18"/>
      <c r="T4" s="18"/>
      <c r="U4" s="18"/>
      <c r="V4" s="18"/>
      <c r="W4" s="18"/>
      <c r="X4" s="18"/>
      <c r="Y4" s="18"/>
      <c r="Z4" s="18"/>
      <c r="AA4" s="18"/>
      <c r="AB4" s="18"/>
      <c r="AC4" s="18"/>
      <c r="AD4" s="18"/>
      <c r="AE4" s="18"/>
      <c r="AF4" s="18"/>
      <c r="AG4" s="18"/>
      <c r="AH4" s="18"/>
    </row>
    <row r="5" spans="1:34" ht="12" customHeight="1">
      <c r="A5" s="18"/>
      <c r="B5" s="18"/>
      <c r="C5" s="19" t="s">
        <v>56</v>
      </c>
      <c r="D5" s="23">
        <v>258957.25360303544</v>
      </c>
      <c r="E5" s="5" t="s">
        <v>57</v>
      </c>
      <c r="F5" s="24">
        <v>0.44</v>
      </c>
      <c r="G5" s="5" t="s">
        <v>58</v>
      </c>
      <c r="H5" s="23">
        <f t="shared" ref="H5:H7" si="0">J5*12/44</f>
        <v>31074.870432364252</v>
      </c>
      <c r="I5" s="5" t="s">
        <v>58</v>
      </c>
      <c r="J5" s="23">
        <f t="shared" ref="J5:J7" si="1">IF(ISERROR(D5*F5),0,D5*F5)</f>
        <v>113941.19158533559</v>
      </c>
      <c r="K5" s="18"/>
      <c r="L5" s="18"/>
      <c r="M5" s="18"/>
      <c r="N5" s="18"/>
      <c r="O5" s="25"/>
      <c r="P5" s="25"/>
      <c r="Q5" s="18"/>
      <c r="R5" s="18"/>
      <c r="S5" s="18"/>
      <c r="T5" s="18"/>
      <c r="U5" s="18"/>
      <c r="V5" s="18"/>
      <c r="W5" s="18"/>
      <c r="X5" s="18"/>
      <c r="Y5" s="18"/>
      <c r="Z5" s="18"/>
      <c r="AA5" s="18"/>
      <c r="AB5" s="18"/>
      <c r="AC5" s="18"/>
      <c r="AD5" s="18"/>
      <c r="AE5" s="18"/>
      <c r="AF5" s="18"/>
      <c r="AG5" s="18"/>
      <c r="AH5" s="18"/>
    </row>
    <row r="6" spans="1:34" ht="12" customHeight="1">
      <c r="A6" s="18"/>
      <c r="B6" s="18"/>
      <c r="C6" s="19" t="s">
        <v>59</v>
      </c>
      <c r="D6" s="23">
        <v>0</v>
      </c>
      <c r="E6" s="5" t="s">
        <v>57</v>
      </c>
      <c r="F6" s="24">
        <v>0.48400000000000004</v>
      </c>
      <c r="G6" s="5" t="s">
        <v>58</v>
      </c>
      <c r="H6" s="23">
        <f t="shared" si="0"/>
        <v>0</v>
      </c>
      <c r="I6" s="5" t="s">
        <v>58</v>
      </c>
      <c r="J6" s="23">
        <f t="shared" si="1"/>
        <v>0</v>
      </c>
      <c r="K6" s="18"/>
      <c r="L6" s="18"/>
      <c r="M6" s="18"/>
      <c r="N6" s="18"/>
      <c r="O6" s="26" t="s">
        <v>60</v>
      </c>
      <c r="P6" s="27">
        <f>Summary!E4</f>
        <v>1</v>
      </c>
      <c r="Q6" s="18"/>
      <c r="R6" s="18"/>
      <c r="S6" s="18"/>
      <c r="T6" s="18"/>
      <c r="U6" s="18"/>
      <c r="V6" s="18"/>
      <c r="W6" s="18"/>
      <c r="X6" s="18"/>
      <c r="Y6" s="18"/>
      <c r="Z6" s="18"/>
      <c r="AA6" s="18"/>
      <c r="AB6" s="18"/>
      <c r="AC6" s="18"/>
      <c r="AD6" s="18"/>
      <c r="AE6" s="18"/>
      <c r="AF6" s="18"/>
      <c r="AG6" s="18"/>
      <c r="AH6" s="18"/>
    </row>
    <row r="7" spans="1:34" ht="12" customHeight="1">
      <c r="A7" s="18"/>
      <c r="B7" s="18"/>
      <c r="C7" s="19" t="s">
        <v>61</v>
      </c>
      <c r="D7" s="28"/>
      <c r="E7" s="5" t="s">
        <v>57</v>
      </c>
      <c r="F7" s="24">
        <v>1.7966666666666669</v>
      </c>
      <c r="G7" s="5" t="s">
        <v>58</v>
      </c>
      <c r="H7" s="23">
        <f t="shared" si="0"/>
        <v>0</v>
      </c>
      <c r="I7" s="5" t="s">
        <v>58</v>
      </c>
      <c r="J7" s="23">
        <f t="shared" si="1"/>
        <v>0</v>
      </c>
      <c r="K7" s="18"/>
      <c r="L7" s="18"/>
      <c r="M7" s="18"/>
      <c r="N7" s="18"/>
      <c r="O7" s="26" t="s">
        <v>62</v>
      </c>
      <c r="P7" s="27">
        <f>Summary!E5</f>
        <v>28</v>
      </c>
      <c r="Q7" s="18"/>
      <c r="R7" s="18"/>
      <c r="S7" s="18"/>
      <c r="T7" s="18"/>
      <c r="U7" s="18"/>
      <c r="V7" s="18"/>
      <c r="W7" s="18"/>
      <c r="X7" s="18"/>
      <c r="Y7" s="18"/>
      <c r="Z7" s="18"/>
      <c r="AA7" s="18"/>
      <c r="AB7" s="18"/>
      <c r="AC7" s="18"/>
      <c r="AD7" s="18"/>
      <c r="AE7" s="18"/>
      <c r="AF7" s="18"/>
      <c r="AG7" s="18"/>
      <c r="AH7" s="18"/>
    </row>
    <row r="8" spans="1:34" ht="15" customHeight="1">
      <c r="A8" s="14"/>
      <c r="B8" s="15"/>
      <c r="C8" s="16"/>
      <c r="D8" s="16"/>
      <c r="E8" s="16"/>
      <c r="F8" s="16"/>
      <c r="G8" s="16"/>
      <c r="H8" s="16"/>
      <c r="I8" s="16"/>
      <c r="J8" s="16"/>
      <c r="K8" s="16"/>
      <c r="L8" s="16"/>
      <c r="M8" s="14"/>
      <c r="N8" s="14"/>
      <c r="O8" s="26" t="s">
        <v>63</v>
      </c>
      <c r="P8" s="27">
        <f>Summary!E6</f>
        <v>265</v>
      </c>
      <c r="Q8" s="14"/>
      <c r="R8" s="14"/>
      <c r="S8" s="14"/>
      <c r="T8" s="14"/>
      <c r="U8" s="14"/>
      <c r="V8" s="14"/>
      <c r="W8" s="14"/>
      <c r="X8" s="14"/>
      <c r="Y8" s="14"/>
      <c r="Z8" s="14"/>
      <c r="AA8" s="14"/>
      <c r="AB8" s="14"/>
      <c r="AC8" s="14"/>
      <c r="AD8" s="14"/>
      <c r="AE8" s="14"/>
      <c r="AF8" s="14"/>
      <c r="AG8" s="14"/>
      <c r="AH8" s="14"/>
    </row>
    <row r="9" spans="1:34" ht="21" customHeight="1">
      <c r="A9" s="14"/>
      <c r="B9" s="15"/>
      <c r="C9" s="17" t="s">
        <v>64</v>
      </c>
      <c r="D9" s="14"/>
      <c r="E9" s="14"/>
      <c r="F9" s="14"/>
      <c r="G9" s="14"/>
      <c r="H9" s="14"/>
      <c r="I9" s="14"/>
      <c r="J9" s="14"/>
      <c r="K9" s="14"/>
      <c r="L9" s="14"/>
      <c r="M9" s="14"/>
      <c r="N9" s="14"/>
      <c r="O9" s="26" t="s">
        <v>65</v>
      </c>
      <c r="P9" s="29">
        <f>Summary!E7</f>
        <v>23500</v>
      </c>
      <c r="Q9" s="14"/>
      <c r="R9" s="14"/>
      <c r="S9" s="14"/>
      <c r="T9" s="14"/>
      <c r="U9" s="14"/>
      <c r="V9" s="14"/>
      <c r="W9" s="14"/>
      <c r="X9" s="14"/>
      <c r="Y9" s="14"/>
      <c r="Z9" s="14"/>
      <c r="AA9" s="14"/>
      <c r="AB9" s="14"/>
      <c r="AC9" s="14"/>
      <c r="AD9" s="14"/>
      <c r="AE9" s="14"/>
      <c r="AF9" s="14"/>
      <c r="AG9" s="14"/>
      <c r="AH9" s="14"/>
    </row>
    <row r="10" spans="1:34" ht="36" customHeight="1">
      <c r="A10" s="18"/>
      <c r="B10" s="30"/>
      <c r="C10" s="18"/>
      <c r="D10" s="31" t="s">
        <v>66</v>
      </c>
      <c r="E10" s="32"/>
      <c r="F10" s="31" t="s">
        <v>53</v>
      </c>
      <c r="G10" s="18"/>
      <c r="H10" s="31" t="s">
        <v>54</v>
      </c>
      <c r="I10" s="18"/>
      <c r="J10" s="31" t="s">
        <v>55</v>
      </c>
      <c r="K10" s="18"/>
      <c r="L10" s="18"/>
      <c r="M10" s="18"/>
      <c r="N10" s="18"/>
      <c r="O10" s="26"/>
      <c r="P10" s="29"/>
      <c r="Q10" s="18"/>
      <c r="R10" s="18"/>
      <c r="S10" s="18"/>
      <c r="T10" s="18"/>
      <c r="U10" s="18"/>
      <c r="V10" s="18"/>
      <c r="W10" s="18"/>
      <c r="X10" s="18"/>
      <c r="Y10" s="18"/>
      <c r="Z10" s="18"/>
      <c r="AA10" s="18"/>
      <c r="AB10" s="18"/>
      <c r="AC10" s="18"/>
      <c r="AD10" s="18"/>
      <c r="AE10" s="18"/>
      <c r="AF10" s="18"/>
      <c r="AG10" s="18"/>
      <c r="AH10" s="18"/>
    </row>
    <row r="11" spans="1:34" ht="12" customHeight="1">
      <c r="A11" s="18"/>
      <c r="B11" s="30"/>
      <c r="C11" s="18" t="s">
        <v>67</v>
      </c>
      <c r="D11" s="23">
        <v>0</v>
      </c>
      <c r="E11" s="33" t="s">
        <v>57</v>
      </c>
      <c r="F11" s="24">
        <v>9.74E-2</v>
      </c>
      <c r="G11" s="33" t="s">
        <v>58</v>
      </c>
      <c r="H11" s="23">
        <f t="shared" ref="H11:H12" si="2">J11*12/44</f>
        <v>0</v>
      </c>
      <c r="I11" s="33" t="s">
        <v>58</v>
      </c>
      <c r="J11" s="23">
        <f t="shared" ref="J11:J12" si="3">IF(ISERROR(D11*F11),0,D11*F11)</f>
        <v>0</v>
      </c>
      <c r="K11" s="18"/>
      <c r="L11" s="18"/>
      <c r="M11" s="18"/>
      <c r="N11" s="18"/>
      <c r="O11" s="18"/>
      <c r="P11" s="18"/>
      <c r="Q11" s="18"/>
      <c r="R11" s="18"/>
      <c r="S11" s="18"/>
      <c r="T11" s="18"/>
      <c r="U11" s="18"/>
      <c r="V11" s="18"/>
      <c r="W11" s="18"/>
      <c r="X11" s="18"/>
      <c r="Y11" s="18"/>
      <c r="Z11" s="18"/>
      <c r="AA11" s="18"/>
      <c r="AB11" s="18"/>
      <c r="AC11" s="18"/>
      <c r="AD11" s="18"/>
      <c r="AE11" s="18"/>
      <c r="AF11" s="18"/>
      <c r="AG11" s="18"/>
      <c r="AH11" s="18"/>
    </row>
    <row r="12" spans="1:34" ht="12" customHeight="1">
      <c r="A12" s="18"/>
      <c r="B12" s="30"/>
      <c r="C12" s="18" t="s">
        <v>68</v>
      </c>
      <c r="D12" s="23">
        <v>114725.34958283848</v>
      </c>
      <c r="E12" s="33" t="s">
        <v>57</v>
      </c>
      <c r="F12" s="24">
        <v>0.41499999999999998</v>
      </c>
      <c r="G12" s="33" t="s">
        <v>58</v>
      </c>
      <c r="H12" s="23">
        <f t="shared" si="2"/>
        <v>12984.823657330357</v>
      </c>
      <c r="I12" s="33" t="s">
        <v>58</v>
      </c>
      <c r="J12" s="23">
        <f t="shared" si="3"/>
        <v>47611.020076877969</v>
      </c>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4" ht="15" customHeight="1">
      <c r="A13" s="14"/>
      <c r="B13" s="15"/>
      <c r="C13" s="16"/>
      <c r="D13" s="16"/>
      <c r="E13" s="16"/>
      <c r="F13" s="16"/>
      <c r="G13" s="16"/>
      <c r="H13" s="16"/>
      <c r="I13" s="16"/>
      <c r="J13" s="16"/>
      <c r="K13" s="16"/>
      <c r="L13" s="16"/>
      <c r="M13" s="14"/>
      <c r="N13" s="14"/>
      <c r="O13" s="14"/>
      <c r="P13" s="14"/>
      <c r="Q13" s="14"/>
      <c r="R13" s="14"/>
      <c r="S13" s="14"/>
      <c r="T13" s="14"/>
      <c r="U13" s="14"/>
      <c r="V13" s="14"/>
      <c r="W13" s="14"/>
      <c r="X13" s="14"/>
      <c r="Y13" s="14"/>
      <c r="Z13" s="14"/>
      <c r="AA13" s="14"/>
      <c r="AB13" s="14"/>
      <c r="AC13" s="14"/>
      <c r="AD13" s="14"/>
      <c r="AE13" s="14"/>
      <c r="AF13" s="14"/>
      <c r="AG13" s="14"/>
      <c r="AH13" s="14"/>
    </row>
    <row r="14" spans="1:34" ht="21" customHeight="1">
      <c r="A14" s="14"/>
      <c r="B14" s="15"/>
      <c r="C14" s="17" t="s">
        <v>69</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1:34" ht="36" customHeight="1">
      <c r="A15" s="18"/>
      <c r="B15" s="30"/>
      <c r="C15" s="19"/>
      <c r="D15" s="22" t="s">
        <v>70</v>
      </c>
      <c r="E15" s="21"/>
      <c r="F15" s="22" t="s">
        <v>71</v>
      </c>
      <c r="G15" s="19"/>
      <c r="H15" s="22" t="s">
        <v>72</v>
      </c>
      <c r="I15" s="19"/>
      <c r="J15" s="22" t="s">
        <v>54</v>
      </c>
      <c r="K15" s="19"/>
      <c r="L15" s="22" t="s">
        <v>55</v>
      </c>
      <c r="M15" s="18"/>
      <c r="N15" s="18"/>
      <c r="O15" s="18"/>
      <c r="P15" s="18"/>
      <c r="Q15" s="18"/>
      <c r="R15" s="18"/>
      <c r="S15" s="34" t="s">
        <v>73</v>
      </c>
      <c r="T15" s="35"/>
      <c r="U15" s="35"/>
      <c r="V15" s="35"/>
      <c r="W15" s="35"/>
      <c r="X15" s="35"/>
      <c r="Y15" s="35"/>
      <c r="Z15" s="35"/>
      <c r="AA15" s="35"/>
      <c r="AB15" s="35"/>
      <c r="AC15" s="35"/>
      <c r="AD15" s="35"/>
      <c r="AE15" s="35"/>
      <c r="AF15" s="35"/>
      <c r="AG15" s="35"/>
      <c r="AH15" s="35"/>
    </row>
    <row r="16" spans="1:34" ht="12" customHeight="1">
      <c r="A16" s="18"/>
      <c r="B16" s="30"/>
      <c r="C16" s="36" t="s">
        <v>74</v>
      </c>
      <c r="D16" s="23">
        <v>0</v>
      </c>
      <c r="E16" s="5" t="s">
        <v>57</v>
      </c>
      <c r="F16" s="37">
        <v>1.2</v>
      </c>
      <c r="G16" s="5" t="s">
        <v>75</v>
      </c>
      <c r="H16" s="23">
        <f>D17*F17</f>
        <v>626.98079697975709</v>
      </c>
      <c r="I16" s="5" t="s">
        <v>76</v>
      </c>
      <c r="J16" s="23">
        <f t="shared" ref="J16:J17" si="4">L16*12/44</f>
        <v>0</v>
      </c>
      <c r="K16" s="5" t="s">
        <v>58</v>
      </c>
      <c r="L16" s="23">
        <f>IF(D16&gt;0,D16*F16-(H16),0)</f>
        <v>0</v>
      </c>
      <c r="M16" s="18"/>
      <c r="N16" s="18"/>
      <c r="O16" s="18"/>
      <c r="P16" s="18"/>
      <c r="Q16" s="18"/>
      <c r="R16" s="18"/>
      <c r="S16" s="38" t="s">
        <v>77</v>
      </c>
      <c r="T16" s="39">
        <v>2006</v>
      </c>
      <c r="U16" s="39">
        <v>2007</v>
      </c>
      <c r="V16" s="39">
        <v>2008</v>
      </c>
      <c r="W16" s="39">
        <v>2009</v>
      </c>
      <c r="X16" s="39">
        <v>2010</v>
      </c>
      <c r="Y16" s="39">
        <v>2011</v>
      </c>
      <c r="Z16" s="39">
        <v>2012</v>
      </c>
      <c r="AA16" s="39">
        <v>2013</v>
      </c>
      <c r="AB16" s="39">
        <v>2014</v>
      </c>
      <c r="AC16" s="39">
        <v>2015</v>
      </c>
      <c r="AD16" s="39">
        <v>2016</v>
      </c>
      <c r="AE16" s="39">
        <v>2017</v>
      </c>
      <c r="AF16" s="39">
        <v>2018</v>
      </c>
      <c r="AG16" s="39">
        <v>2019</v>
      </c>
      <c r="AH16" s="39">
        <v>2020</v>
      </c>
    </row>
    <row r="17" spans="1:34" ht="12" customHeight="1">
      <c r="A17" s="18"/>
      <c r="B17" s="30"/>
      <c r="C17" s="36" t="s">
        <v>78</v>
      </c>
      <c r="D17" s="23">
        <v>858.87780408185904</v>
      </c>
      <c r="E17" s="5"/>
      <c r="F17" s="40">
        <v>0.73</v>
      </c>
      <c r="G17" s="5"/>
      <c r="H17" s="5"/>
      <c r="I17" s="5" t="s">
        <v>79</v>
      </c>
      <c r="J17" s="23">
        <f t="shared" si="4"/>
        <v>170.99476281266104</v>
      </c>
      <c r="K17" s="5" t="s">
        <v>58</v>
      </c>
      <c r="L17" s="23">
        <f>D17*F17</f>
        <v>626.98079697975709</v>
      </c>
      <c r="M17" s="18"/>
      <c r="N17" s="18"/>
      <c r="O17" s="18"/>
      <c r="P17" s="18"/>
      <c r="Q17" s="18"/>
      <c r="R17" s="18"/>
      <c r="S17" s="41" t="s">
        <v>80</v>
      </c>
      <c r="T17" s="42">
        <v>1.6982968490000001</v>
      </c>
      <c r="U17" s="42">
        <v>1.8171300619999999</v>
      </c>
      <c r="V17" s="42">
        <v>1.9474016679999999</v>
      </c>
      <c r="W17" s="42">
        <v>2.2363934209999998</v>
      </c>
      <c r="X17" s="42">
        <v>2.2756309529999998</v>
      </c>
      <c r="Y17" s="42">
        <v>2.6494067449999998</v>
      </c>
      <c r="Z17" s="42">
        <v>2.2622070939999999</v>
      </c>
      <c r="AA17" s="42">
        <v>2.5985235260000001</v>
      </c>
      <c r="AB17" s="42">
        <v>2.196976512</v>
      </c>
      <c r="AC17" s="42">
        <v>2.262649004</v>
      </c>
      <c r="AD17" s="42">
        <v>2.2813941510000002</v>
      </c>
      <c r="AE17" s="42">
        <v>2.282050693</v>
      </c>
      <c r="AF17" s="42">
        <v>2.298196554</v>
      </c>
      <c r="AG17" s="42">
        <v>2.3493700849999999</v>
      </c>
      <c r="AH17" s="42">
        <v>2.3950297410000001</v>
      </c>
    </row>
    <row r="18" spans="1:34" ht="15" customHeight="1">
      <c r="A18" s="14"/>
      <c r="B18" s="15"/>
      <c r="C18" s="16"/>
      <c r="D18" s="16"/>
      <c r="E18" s="16"/>
      <c r="F18" s="16"/>
      <c r="G18" s="16"/>
      <c r="H18" s="16"/>
      <c r="I18" s="16"/>
      <c r="J18" s="16"/>
      <c r="K18" s="16"/>
      <c r="L18" s="16"/>
      <c r="M18" s="14"/>
      <c r="N18" s="14"/>
      <c r="O18" s="14"/>
      <c r="P18" s="14"/>
      <c r="Q18" s="14"/>
      <c r="R18" s="14"/>
      <c r="S18" s="41" t="s">
        <v>81</v>
      </c>
      <c r="T18" s="42">
        <v>4.0139666930000004</v>
      </c>
      <c r="U18" s="42">
        <v>4.2586197529999996</v>
      </c>
      <c r="V18" s="42">
        <v>4.5282625989999996</v>
      </c>
      <c r="W18" s="42">
        <v>5.2032449209999996</v>
      </c>
      <c r="X18" s="42">
        <v>5.2639995830000004</v>
      </c>
      <c r="Y18" s="42">
        <v>6.0454015339999998</v>
      </c>
      <c r="Z18" s="42">
        <v>5.0219706620000002</v>
      </c>
      <c r="AA18" s="42">
        <v>5.7208557210000004</v>
      </c>
      <c r="AB18" s="42">
        <v>4.88036066</v>
      </c>
      <c r="AC18" s="42">
        <v>5.0238306860000002</v>
      </c>
      <c r="AD18" s="42">
        <v>5.0214606010000002</v>
      </c>
      <c r="AE18" s="42">
        <v>4.9836886749999998</v>
      </c>
      <c r="AF18" s="42">
        <v>4.982590321</v>
      </c>
      <c r="AG18" s="42">
        <v>5.0639371200000003</v>
      </c>
      <c r="AH18" s="42">
        <f>AH17*AG19</f>
        <v>5.1623539800686133</v>
      </c>
    </row>
    <row r="19" spans="1:34" ht="15" customHeight="1">
      <c r="A19" s="14"/>
      <c r="B19" s="15"/>
      <c r="C19" s="16"/>
      <c r="D19" s="16"/>
      <c r="E19" s="16"/>
      <c r="F19" s="16"/>
      <c r="G19" s="16"/>
      <c r="H19" s="16"/>
      <c r="I19" s="16"/>
      <c r="J19" s="16"/>
      <c r="K19" s="16"/>
      <c r="L19" s="16"/>
      <c r="M19" s="14"/>
      <c r="N19" s="14"/>
      <c r="O19" s="14"/>
      <c r="P19" s="14"/>
      <c r="Q19" s="14"/>
      <c r="R19" s="14"/>
      <c r="S19" s="43" t="s">
        <v>82</v>
      </c>
      <c r="T19" s="44">
        <f t="shared" ref="T19:AG19" si="5">T18/T17</f>
        <v>2.3635247838818785</v>
      </c>
      <c r="U19" s="44">
        <f t="shared" si="5"/>
        <v>2.3435965548403326</v>
      </c>
      <c r="V19" s="44">
        <f t="shared" si="5"/>
        <v>2.3252843383104258</v>
      </c>
      <c r="W19" s="44">
        <f t="shared" si="5"/>
        <v>2.3266232462235452</v>
      </c>
      <c r="X19" s="44">
        <f t="shared" si="5"/>
        <v>2.3132044218595231</v>
      </c>
      <c r="Y19" s="44">
        <f t="shared" si="5"/>
        <v>2.2817944226227143</v>
      </c>
      <c r="Z19" s="44">
        <f t="shared" si="5"/>
        <v>2.219942937726461</v>
      </c>
      <c r="AA19" s="44">
        <f t="shared" si="5"/>
        <v>2.2015793444850265</v>
      </c>
      <c r="AB19" s="44">
        <f t="shared" si="5"/>
        <v>2.2213986509838479</v>
      </c>
      <c r="AC19" s="44">
        <f t="shared" si="5"/>
        <v>2.2203314244138945</v>
      </c>
      <c r="AD19" s="44">
        <f t="shared" si="5"/>
        <v>2.2010491255090447</v>
      </c>
      <c r="AE19" s="44">
        <f t="shared" si="5"/>
        <v>2.1838641403922572</v>
      </c>
      <c r="AF19" s="44">
        <f t="shared" si="5"/>
        <v>2.168043595891668</v>
      </c>
      <c r="AG19" s="44">
        <f t="shared" si="5"/>
        <v>2.1554446242129623</v>
      </c>
      <c r="AH19" s="45"/>
    </row>
    <row r="20" spans="1:34" ht="21" customHeight="1">
      <c r="A20" s="14"/>
      <c r="B20" s="15"/>
      <c r="C20" s="17" t="s">
        <v>83</v>
      </c>
      <c r="D20" s="14"/>
      <c r="E20" s="14"/>
      <c r="F20" s="14"/>
      <c r="G20" s="14"/>
      <c r="H20" s="14"/>
      <c r="I20" s="14"/>
      <c r="J20" s="14"/>
      <c r="K20" s="14"/>
      <c r="L20" s="14"/>
      <c r="M20" s="14"/>
      <c r="N20" s="14"/>
      <c r="O20" s="14"/>
      <c r="P20" s="14"/>
      <c r="Q20" s="14"/>
      <c r="R20" s="14"/>
      <c r="S20" s="14" t="s">
        <v>84</v>
      </c>
      <c r="T20" s="46"/>
      <c r="U20" s="46"/>
      <c r="V20" s="46"/>
      <c r="W20" s="46"/>
      <c r="X20" s="46"/>
      <c r="Y20" s="46"/>
      <c r="Z20" s="46"/>
      <c r="AA20" s="46"/>
      <c r="AB20" s="46"/>
      <c r="AC20" s="46"/>
      <c r="AD20" s="46"/>
      <c r="AE20" s="46"/>
      <c r="AF20" s="46"/>
      <c r="AG20" s="46"/>
      <c r="AH20" s="46"/>
    </row>
    <row r="21" spans="1:34" ht="47.25" customHeight="1">
      <c r="A21" s="18"/>
      <c r="B21" s="30"/>
      <c r="C21" s="47"/>
      <c r="D21" s="48" t="s">
        <v>85</v>
      </c>
      <c r="E21" s="47"/>
      <c r="F21" s="22" t="s">
        <v>86</v>
      </c>
      <c r="G21" s="47"/>
      <c r="H21" s="22" t="s">
        <v>87</v>
      </c>
      <c r="I21" s="47"/>
      <c r="J21" s="22" t="s">
        <v>88</v>
      </c>
      <c r="K21" s="47"/>
      <c r="L21" s="48" t="s">
        <v>89</v>
      </c>
      <c r="M21" s="18"/>
      <c r="N21" s="18"/>
      <c r="O21" s="18"/>
      <c r="P21" s="18"/>
      <c r="Q21" s="18"/>
      <c r="R21" s="18"/>
      <c r="S21" s="18"/>
      <c r="T21" s="18"/>
      <c r="U21" s="18"/>
      <c r="V21" s="18"/>
      <c r="W21" s="18"/>
      <c r="X21" s="18"/>
      <c r="Y21" s="18"/>
      <c r="Z21" s="18"/>
      <c r="AA21" s="18"/>
      <c r="AB21" s="18"/>
      <c r="AC21" s="18"/>
      <c r="AD21" s="18"/>
      <c r="AE21" s="18"/>
      <c r="AF21" s="18"/>
      <c r="AG21" s="18"/>
      <c r="AH21" s="18"/>
    </row>
    <row r="22" spans="1:34" ht="12" customHeight="1">
      <c r="A22" s="18"/>
      <c r="B22" s="30"/>
      <c r="C22" s="5">
        <v>2006</v>
      </c>
      <c r="D22" s="28">
        <v>113868212</v>
      </c>
      <c r="E22" s="5" t="s">
        <v>57</v>
      </c>
      <c r="F22" s="28">
        <v>5612196</v>
      </c>
      <c r="G22" s="49" t="s">
        <v>90</v>
      </c>
      <c r="H22" s="28">
        <v>71213455</v>
      </c>
      <c r="I22" s="5" t="s">
        <v>57</v>
      </c>
      <c r="J22" s="50">
        <v>0.18810535200115799</v>
      </c>
      <c r="K22" s="49" t="s">
        <v>58</v>
      </c>
      <c r="L22" s="51">
        <f>D22*J22*(F22/H22)</f>
        <v>1688007.7138281458</v>
      </c>
      <c r="M22" s="18"/>
      <c r="N22" s="18"/>
      <c r="O22" s="18"/>
      <c r="P22" s="18"/>
      <c r="Q22" s="18"/>
      <c r="R22" s="18"/>
      <c r="S22" s="18"/>
      <c r="T22" s="18"/>
      <c r="U22" s="18"/>
      <c r="V22" s="18"/>
      <c r="W22" s="18"/>
      <c r="X22" s="18"/>
      <c r="Y22" s="18"/>
      <c r="Z22" s="18"/>
      <c r="AA22" s="18"/>
      <c r="AB22" s="18"/>
      <c r="AC22" s="18"/>
      <c r="AD22" s="18"/>
      <c r="AE22" s="18"/>
      <c r="AF22" s="18"/>
      <c r="AG22" s="18"/>
      <c r="AH22" s="18"/>
    </row>
    <row r="23" spans="1:34" ht="15" customHeight="1">
      <c r="A23" s="14"/>
      <c r="B23" s="15"/>
      <c r="C23" s="47"/>
      <c r="D23" s="47"/>
      <c r="E23" s="47"/>
      <c r="F23" s="47"/>
      <c r="G23" s="47"/>
      <c r="H23" s="47"/>
      <c r="I23" s="47"/>
      <c r="J23" s="47"/>
      <c r="K23" s="47"/>
      <c r="L23" s="47"/>
      <c r="M23" s="14"/>
      <c r="N23" s="14"/>
      <c r="O23" s="14"/>
      <c r="P23" s="14"/>
      <c r="Q23" s="14"/>
      <c r="R23" s="14"/>
      <c r="S23" s="14"/>
      <c r="T23" s="14"/>
      <c r="U23" s="14"/>
      <c r="V23" s="14"/>
      <c r="W23" s="14"/>
      <c r="X23" s="14"/>
      <c r="Y23" s="14"/>
      <c r="Z23" s="14"/>
      <c r="AA23" s="14"/>
      <c r="AB23" s="14"/>
      <c r="AC23" s="14"/>
      <c r="AD23" s="14"/>
      <c r="AE23" s="14"/>
      <c r="AF23" s="14"/>
      <c r="AG23" s="14"/>
      <c r="AH23" s="14"/>
    </row>
    <row r="24" spans="1:34" ht="15" customHeight="1">
      <c r="A24" s="14"/>
      <c r="B24" s="15"/>
      <c r="C24" s="16"/>
      <c r="D24" s="16"/>
      <c r="E24" s="16"/>
      <c r="F24" s="16"/>
      <c r="G24" s="16"/>
      <c r="H24" s="16"/>
      <c r="I24" s="16"/>
      <c r="J24" s="16"/>
      <c r="K24" s="16"/>
      <c r="L24" s="16"/>
      <c r="M24" s="14"/>
      <c r="N24" s="14"/>
      <c r="O24" s="14"/>
      <c r="P24" s="14"/>
      <c r="Q24" s="14"/>
      <c r="R24" s="14"/>
      <c r="S24" s="14"/>
      <c r="T24" s="14"/>
      <c r="U24" s="14"/>
      <c r="V24" s="14"/>
      <c r="W24" s="14"/>
      <c r="X24" s="14"/>
      <c r="Y24" s="14"/>
      <c r="Z24" s="14"/>
      <c r="AA24" s="14"/>
      <c r="AB24" s="14"/>
      <c r="AC24" s="14"/>
      <c r="AD24" s="14"/>
      <c r="AE24" s="14"/>
      <c r="AF24" s="14"/>
      <c r="AG24" s="14"/>
      <c r="AH24" s="14"/>
    </row>
    <row r="25" spans="1:34" ht="21" customHeight="1">
      <c r="A25" s="14"/>
      <c r="B25" s="15"/>
      <c r="C25" s="17" t="s">
        <v>91</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ht="36" customHeight="1">
      <c r="A26" s="18"/>
      <c r="B26" s="30"/>
      <c r="C26" s="19"/>
      <c r="D26" s="20" t="s">
        <v>92</v>
      </c>
      <c r="E26" s="52"/>
      <c r="F26" s="20" t="s">
        <v>93</v>
      </c>
      <c r="G26" s="53"/>
      <c r="H26" s="20" t="s">
        <v>94</v>
      </c>
      <c r="I26" s="53"/>
      <c r="J26" s="52" t="s">
        <v>95</v>
      </c>
      <c r="K26" s="53"/>
      <c r="L26" s="20" t="s">
        <v>55</v>
      </c>
      <c r="M26" s="18"/>
      <c r="N26" s="18"/>
      <c r="O26" s="18"/>
      <c r="P26" s="18"/>
      <c r="Q26" s="18"/>
      <c r="R26" s="18"/>
      <c r="S26" s="18"/>
      <c r="T26" s="18"/>
      <c r="U26" s="18"/>
      <c r="V26" s="18"/>
      <c r="W26" s="18"/>
      <c r="X26" s="18"/>
      <c r="Y26" s="18"/>
      <c r="Z26" s="18"/>
      <c r="AA26" s="18"/>
      <c r="AB26" s="18"/>
      <c r="AC26" s="18"/>
      <c r="AD26" s="18"/>
      <c r="AE26" s="18"/>
      <c r="AF26" s="18"/>
      <c r="AG26" s="18"/>
      <c r="AH26" s="18"/>
    </row>
    <row r="27" spans="1:34" ht="12" customHeight="1">
      <c r="A27" s="18"/>
      <c r="B27" s="30"/>
      <c r="C27" s="5">
        <v>2006</v>
      </c>
      <c r="D27" s="28">
        <v>9.5072211500670711</v>
      </c>
      <c r="E27" s="5" t="s">
        <v>57</v>
      </c>
      <c r="F27" s="37">
        <v>1</v>
      </c>
      <c r="G27" s="5" t="s">
        <v>58</v>
      </c>
      <c r="H27" s="23">
        <f>IF(ISERROR(D27*F27), ,D27*F27)</f>
        <v>9.5072211500670711</v>
      </c>
      <c r="I27" s="5" t="s">
        <v>58</v>
      </c>
      <c r="J27" s="23">
        <f>H27*$P$9*12/44</f>
        <v>60932.644643611689</v>
      </c>
      <c r="K27" s="5" t="s">
        <v>58</v>
      </c>
      <c r="L27" s="23">
        <f>J27/(12/44)</f>
        <v>223419.69702657621</v>
      </c>
      <c r="M27" s="18"/>
      <c r="N27" s="18"/>
      <c r="O27" s="18"/>
      <c r="P27" s="18"/>
      <c r="Q27" s="18"/>
      <c r="R27" s="18"/>
      <c r="S27" s="18"/>
      <c r="T27" s="18"/>
      <c r="U27" s="18"/>
      <c r="V27" s="18"/>
      <c r="W27" s="18"/>
      <c r="X27" s="18"/>
      <c r="Y27" s="18"/>
      <c r="Z27" s="18"/>
      <c r="AA27" s="18"/>
      <c r="AB27" s="18"/>
      <c r="AC27" s="18"/>
      <c r="AD27" s="18"/>
      <c r="AE27" s="18"/>
      <c r="AF27" s="18"/>
      <c r="AG27" s="18"/>
      <c r="AH27" s="18"/>
    </row>
    <row r="28" spans="1:34" ht="15" customHeight="1">
      <c r="A28" s="14"/>
      <c r="B28" s="15"/>
      <c r="C28" s="16"/>
      <c r="D28" s="16"/>
      <c r="E28" s="16"/>
      <c r="F28" s="16"/>
      <c r="G28" s="16"/>
      <c r="H28" s="16"/>
      <c r="I28" s="16"/>
      <c r="J28" s="16"/>
      <c r="K28" s="16"/>
      <c r="L28" s="16"/>
      <c r="M28" s="14"/>
      <c r="N28" s="14"/>
      <c r="O28" s="14"/>
      <c r="P28" s="14"/>
      <c r="Q28" s="14"/>
      <c r="R28" s="14"/>
      <c r="S28" s="14"/>
      <c r="T28" s="14"/>
      <c r="U28" s="14"/>
      <c r="V28" s="14"/>
      <c r="W28" s="14"/>
      <c r="X28" s="14"/>
      <c r="Y28" s="14"/>
      <c r="Z28" s="14"/>
      <c r="AA28" s="14"/>
      <c r="AB28" s="14"/>
      <c r="AC28" s="14"/>
      <c r="AD28" s="14"/>
      <c r="AE28" s="14"/>
      <c r="AF28" s="14"/>
      <c r="AG28" s="14"/>
      <c r="AH28" s="14"/>
    </row>
    <row r="29" spans="1:34" ht="15" customHeight="1">
      <c r="A29" s="14"/>
      <c r="B29" s="15"/>
      <c r="C29" s="16"/>
      <c r="D29" s="16"/>
      <c r="E29" s="16"/>
      <c r="F29" s="16"/>
      <c r="G29" s="16"/>
      <c r="H29" s="16"/>
      <c r="I29" s="16"/>
      <c r="J29" s="16"/>
      <c r="K29" s="16"/>
      <c r="L29" s="16"/>
      <c r="M29" s="14"/>
      <c r="N29" s="14"/>
      <c r="O29" s="14"/>
      <c r="P29" s="14"/>
      <c r="Q29" s="14"/>
      <c r="R29" s="14"/>
      <c r="S29" s="14"/>
      <c r="T29" s="14"/>
      <c r="U29" s="14"/>
      <c r="V29" s="14"/>
      <c r="W29" s="14"/>
      <c r="X29" s="14"/>
      <c r="Y29" s="14"/>
      <c r="Z29" s="14"/>
      <c r="AA29" s="14"/>
      <c r="AB29" s="14"/>
      <c r="AC29" s="14"/>
      <c r="AD29" s="14"/>
      <c r="AE29" s="14"/>
      <c r="AF29" s="14"/>
      <c r="AG29" s="14"/>
      <c r="AH29" s="14"/>
    </row>
    <row r="30" spans="1:34" ht="21" customHeight="1">
      <c r="A30" s="14"/>
      <c r="B30" s="15"/>
      <c r="C30" s="17" t="s">
        <v>96</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row>
    <row r="31" spans="1:34" ht="36" customHeight="1">
      <c r="A31" s="18"/>
      <c r="B31" s="30"/>
      <c r="C31" s="19"/>
      <c r="D31" s="20" t="s">
        <v>97</v>
      </c>
      <c r="E31" s="52"/>
      <c r="F31" s="20" t="s">
        <v>98</v>
      </c>
      <c r="G31" s="53"/>
      <c r="H31" s="19"/>
      <c r="I31" s="19"/>
      <c r="J31" s="20" t="s">
        <v>54</v>
      </c>
      <c r="K31" s="53"/>
      <c r="L31" s="20" t="s">
        <v>55</v>
      </c>
      <c r="M31" s="18"/>
      <c r="N31" s="18"/>
      <c r="O31" s="18"/>
      <c r="P31" s="18"/>
      <c r="Q31" s="18"/>
      <c r="R31" s="18"/>
      <c r="S31" s="18"/>
      <c r="T31" s="18"/>
      <c r="U31" s="18"/>
      <c r="V31" s="18"/>
      <c r="W31" s="18"/>
      <c r="X31" s="18"/>
      <c r="Y31" s="18"/>
      <c r="Z31" s="18"/>
      <c r="AA31" s="18"/>
      <c r="AB31" s="18"/>
      <c r="AC31" s="18"/>
      <c r="AD31" s="18"/>
      <c r="AE31" s="18"/>
      <c r="AF31" s="18"/>
      <c r="AG31" s="18"/>
      <c r="AH31" s="18"/>
    </row>
    <row r="32" spans="1:34" ht="12" customHeight="1">
      <c r="A32" s="18"/>
      <c r="B32" s="30"/>
      <c r="C32" s="5">
        <v>2006</v>
      </c>
      <c r="D32" s="54">
        <v>0</v>
      </c>
      <c r="E32" s="55" t="s">
        <v>57</v>
      </c>
      <c r="F32" s="56">
        <v>0.42545454545454542</v>
      </c>
      <c r="G32" s="57" t="s">
        <v>58</v>
      </c>
      <c r="H32" s="19"/>
      <c r="I32" s="19"/>
      <c r="J32" s="58">
        <f>IF(ISERROR(D32*F32),0,D32*F32)</f>
        <v>0</v>
      </c>
      <c r="K32" s="57" t="s">
        <v>58</v>
      </c>
      <c r="L32" s="58">
        <f>J32/(12/44)</f>
        <v>0</v>
      </c>
      <c r="M32" s="18"/>
      <c r="N32" s="18"/>
      <c r="O32" s="18"/>
      <c r="P32" s="18"/>
      <c r="Q32" s="18"/>
      <c r="R32" s="18"/>
      <c r="S32" s="18"/>
      <c r="T32" s="18"/>
      <c r="U32" s="18"/>
      <c r="V32" s="18"/>
      <c r="W32" s="18"/>
      <c r="X32" s="18"/>
      <c r="Y32" s="18"/>
      <c r="Z32" s="18"/>
      <c r="AA32" s="18"/>
      <c r="AB32" s="18"/>
      <c r="AC32" s="18"/>
      <c r="AD32" s="18"/>
      <c r="AE32" s="18"/>
      <c r="AF32" s="18"/>
      <c r="AG32" s="18"/>
      <c r="AH32" s="18"/>
    </row>
    <row r="33" spans="1:34" ht="15" customHeight="1">
      <c r="A33" s="14"/>
      <c r="B33" s="15"/>
      <c r="C33" s="16"/>
      <c r="D33" s="16"/>
      <c r="E33" s="16"/>
      <c r="F33" s="16"/>
      <c r="G33" s="16"/>
      <c r="H33" s="16"/>
      <c r="I33" s="16"/>
      <c r="J33" s="16"/>
      <c r="K33" s="16"/>
      <c r="L33" s="16"/>
      <c r="M33" s="14"/>
      <c r="N33" s="14"/>
      <c r="O33" s="14"/>
      <c r="P33" s="14"/>
      <c r="Q33" s="14"/>
      <c r="R33" s="14"/>
      <c r="S33" s="14"/>
      <c r="T33" s="14"/>
      <c r="U33" s="14"/>
      <c r="V33" s="14"/>
      <c r="W33" s="14"/>
      <c r="X33" s="14"/>
      <c r="Y33" s="14"/>
      <c r="Z33" s="14"/>
      <c r="AA33" s="14"/>
      <c r="AB33" s="14"/>
      <c r="AC33" s="14"/>
      <c r="AD33" s="14"/>
      <c r="AE33" s="14"/>
      <c r="AF33" s="14"/>
      <c r="AG33" s="14"/>
      <c r="AH33" s="14"/>
    </row>
    <row r="34" spans="1:34" ht="14.25" customHeight="1">
      <c r="A34" s="14"/>
      <c r="B34" s="15"/>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1:34" ht="14.25" customHeight="1">
      <c r="A35" s="14"/>
      <c r="B35" s="15"/>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4" ht="14.25" customHeight="1">
      <c r="A36" s="14"/>
      <c r="B36" s="15"/>
      <c r="C36" s="59"/>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row>
    <row r="37" spans="1:34" ht="14.25" customHeight="1">
      <c r="A37" s="14"/>
      <c r="B37" s="15"/>
      <c r="C37" s="59"/>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4" ht="14.25" customHeight="1">
      <c r="A38" s="14"/>
      <c r="B38" s="15"/>
      <c r="C38" s="59"/>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row>
    <row r="39" spans="1:34" ht="15" customHeight="1">
      <c r="B39" s="59"/>
      <c r="C39" s="60"/>
      <c r="D39" s="61">
        <v>2006</v>
      </c>
    </row>
    <row r="40" spans="1:34" ht="12.75" customHeight="1">
      <c r="B40" s="59"/>
      <c r="C40" s="62" t="s">
        <v>99</v>
      </c>
      <c r="D40" s="63">
        <f>D41+D42+D43+D44+D45+D46</f>
        <v>162179.19245919332</v>
      </c>
    </row>
    <row r="41" spans="1:34" ht="12.75" customHeight="1">
      <c r="B41" s="59"/>
      <c r="C41" s="64" t="s">
        <v>100</v>
      </c>
      <c r="D41" s="65">
        <v>0</v>
      </c>
    </row>
    <row r="42" spans="1:34" ht="12.75" customHeight="1">
      <c r="B42" s="59"/>
      <c r="C42" s="64" t="s">
        <v>101</v>
      </c>
      <c r="D42" s="65">
        <v>0</v>
      </c>
    </row>
    <row r="43" spans="1:34" ht="12.75" customHeight="1">
      <c r="B43" s="59"/>
      <c r="C43" s="64" t="s">
        <v>51</v>
      </c>
      <c r="D43" s="65">
        <f>J5</f>
        <v>113941.19158533559</v>
      </c>
    </row>
    <row r="44" spans="1:34" ht="12.75" customHeight="1">
      <c r="B44" s="59"/>
      <c r="C44" s="64" t="s">
        <v>102</v>
      </c>
      <c r="D44" s="65">
        <f>J12</f>
        <v>47611.020076877969</v>
      </c>
    </row>
    <row r="45" spans="1:34" ht="12.75" customHeight="1">
      <c r="B45" s="59"/>
      <c r="C45" s="64" t="s">
        <v>103</v>
      </c>
      <c r="D45" s="65">
        <f>L17</f>
        <v>626.98079697975709</v>
      </c>
    </row>
    <row r="46" spans="1:34" ht="13.5" customHeight="1">
      <c r="B46" s="59"/>
      <c r="C46" s="64" t="s">
        <v>104</v>
      </c>
      <c r="D46" s="65">
        <v>0</v>
      </c>
    </row>
    <row r="47" spans="1:34" ht="12.75" customHeight="1">
      <c r="B47" s="59"/>
      <c r="C47" s="66" t="s">
        <v>105</v>
      </c>
      <c r="D47" s="67">
        <f>D48+D49</f>
        <v>0</v>
      </c>
    </row>
    <row r="48" spans="1:34" ht="12.75" customHeight="1">
      <c r="B48" s="59"/>
      <c r="C48" s="64" t="s">
        <v>106</v>
      </c>
      <c r="D48" s="65">
        <v>0</v>
      </c>
    </row>
    <row r="49" spans="2:4" ht="13.5" customHeight="1">
      <c r="B49" s="59"/>
      <c r="C49" s="64" t="s">
        <v>107</v>
      </c>
      <c r="D49" s="65">
        <v>0</v>
      </c>
    </row>
    <row r="50" spans="2:4" ht="12.75" customHeight="1">
      <c r="B50" s="59"/>
      <c r="C50" s="68" t="s">
        <v>108</v>
      </c>
      <c r="D50" s="69">
        <f>D51+D52+D53+D54+D55+D56</f>
        <v>1911427.4108547219</v>
      </c>
    </row>
    <row r="51" spans="2:4" ht="12.75" customHeight="1">
      <c r="B51" s="59"/>
      <c r="C51" s="64" t="s">
        <v>109</v>
      </c>
      <c r="D51" s="65">
        <f>L22</f>
        <v>1688007.7138281458</v>
      </c>
    </row>
    <row r="52" spans="2:4" ht="12.75" customHeight="1">
      <c r="B52" s="59"/>
      <c r="C52" s="64" t="s">
        <v>110</v>
      </c>
      <c r="D52" s="65">
        <v>0</v>
      </c>
    </row>
    <row r="53" spans="2:4" ht="12.75" customHeight="1">
      <c r="B53" s="59"/>
      <c r="C53" s="64" t="s">
        <v>111</v>
      </c>
      <c r="D53" s="65">
        <v>0</v>
      </c>
    </row>
    <row r="54" spans="2:4" ht="25.5" customHeight="1">
      <c r="B54" s="59"/>
      <c r="C54" s="70" t="s">
        <v>112</v>
      </c>
      <c r="D54" s="65">
        <f>L27</f>
        <v>223419.69702657621</v>
      </c>
    </row>
    <row r="55" spans="2:4" ht="12.75" customHeight="1">
      <c r="B55" s="59"/>
      <c r="C55" s="64" t="s">
        <v>113</v>
      </c>
      <c r="D55" s="65">
        <v>0</v>
      </c>
    </row>
    <row r="56" spans="2:4" ht="13.5" customHeight="1">
      <c r="B56" s="59"/>
      <c r="C56" s="64" t="s">
        <v>114</v>
      </c>
      <c r="D56" s="65">
        <f>L32</f>
        <v>0</v>
      </c>
    </row>
    <row r="57" spans="2:4" ht="15" customHeight="1">
      <c r="B57" s="59"/>
      <c r="C57" s="71" t="s">
        <v>115</v>
      </c>
      <c r="D57" s="72">
        <f>D40+D47+D50</f>
        <v>2073606.6033139152</v>
      </c>
    </row>
    <row r="58" spans="2:4" ht="11.25" customHeight="1"/>
    <row r="59" spans="2:4" ht="11.25" customHeight="1"/>
    <row r="60" spans="2:4" ht="11.25" customHeight="1"/>
    <row r="61" spans="2:4" ht="11.25" customHeight="1"/>
    <row r="62" spans="2:4" ht="11.25" customHeight="1"/>
    <row r="63" spans="2:4" ht="11.25" customHeight="1"/>
    <row r="64" spans="2: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O4:P4"/>
  </mergeCells>
  <pageMargins left="0.7" right="0.7" top="0.75" bottom="0.75" header="0" footer="0"/>
  <pageSetup orientation="landscape"/>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000"/>
  <sheetViews>
    <sheetView workbookViewId="0"/>
  </sheetViews>
  <sheetFormatPr defaultColWidth="16.85546875" defaultRowHeight="15" customHeight="1"/>
  <cols>
    <col min="1" max="1" width="8" customWidth="1"/>
    <col min="2" max="2" width="0.140625" customWidth="1"/>
    <col min="3" max="3" width="14.140625" customWidth="1"/>
    <col min="4" max="4" width="13.140625" customWidth="1"/>
    <col min="5" max="5" width="14.7109375" customWidth="1"/>
    <col min="6" max="6" width="12.7109375" customWidth="1"/>
    <col min="7" max="7" width="12.42578125" customWidth="1"/>
    <col min="8" max="8" width="11.42578125" customWidth="1"/>
    <col min="9" max="9" width="12" customWidth="1"/>
    <col min="10" max="10" width="12.7109375" customWidth="1"/>
    <col min="11" max="12" width="13.28515625" customWidth="1"/>
    <col min="13" max="13" width="16.140625" customWidth="1"/>
    <col min="14" max="14" width="20" customWidth="1"/>
  </cols>
  <sheetData>
    <row r="1" spans="1:14" ht="33" customHeight="1">
      <c r="A1" s="17" t="s">
        <v>869</v>
      </c>
      <c r="B1" s="171"/>
      <c r="G1" s="14"/>
      <c r="H1" s="13"/>
    </row>
    <row r="2" spans="1:14" ht="68.25" customHeight="1"/>
    <row r="3" spans="1:14" ht="11.25" customHeight="1"/>
    <row r="4" spans="1:14" ht="12.75" customHeight="1">
      <c r="E4" s="952">
        <v>2008</v>
      </c>
      <c r="J4" s="246">
        <v>2006</v>
      </c>
    </row>
    <row r="5" spans="1:14" ht="12" customHeight="1">
      <c r="E5" s="953"/>
      <c r="J5" s="954"/>
    </row>
    <row r="6" spans="1:14" ht="16.5" customHeight="1">
      <c r="C6" s="677"/>
      <c r="D6" s="955" t="s">
        <v>870</v>
      </c>
      <c r="E6" s="956" t="s">
        <v>843</v>
      </c>
      <c r="F6" s="955" t="s">
        <v>871</v>
      </c>
      <c r="G6" s="955" t="s">
        <v>872</v>
      </c>
      <c r="H6" s="955" t="s">
        <v>873</v>
      </c>
      <c r="I6" s="955" t="s">
        <v>874</v>
      </c>
      <c r="J6" s="957" t="s">
        <v>843</v>
      </c>
      <c r="K6" s="955" t="s">
        <v>875</v>
      </c>
      <c r="L6" s="955" t="s">
        <v>876</v>
      </c>
      <c r="M6" s="958" t="s">
        <v>877</v>
      </c>
    </row>
    <row r="7" spans="1:14" ht="11.25" customHeight="1">
      <c r="C7" s="959"/>
      <c r="D7" s="960"/>
      <c r="E7" s="961" t="s">
        <v>244</v>
      </c>
      <c r="F7" s="960" t="s">
        <v>244</v>
      </c>
      <c r="G7" s="960" t="s">
        <v>878</v>
      </c>
      <c r="H7" s="960" t="s">
        <v>244</v>
      </c>
      <c r="I7" s="960" t="s">
        <v>244</v>
      </c>
      <c r="J7" s="962" t="s">
        <v>244</v>
      </c>
      <c r="K7" s="960" t="s">
        <v>244</v>
      </c>
      <c r="L7" s="963" t="s">
        <v>445</v>
      </c>
      <c r="M7" s="964" t="s">
        <v>879</v>
      </c>
    </row>
    <row r="8" spans="1:14" ht="11.25" customHeight="1">
      <c r="C8" s="182"/>
      <c r="D8" s="14"/>
      <c r="E8" s="953"/>
      <c r="F8" s="14"/>
      <c r="G8" s="14"/>
      <c r="H8" s="14"/>
      <c r="I8" s="14"/>
      <c r="J8" s="954"/>
      <c r="K8" s="14"/>
      <c r="L8" s="14"/>
      <c r="M8" s="197"/>
    </row>
    <row r="9" spans="1:14" ht="12.75" customHeight="1">
      <c r="C9" s="182" t="s">
        <v>880</v>
      </c>
      <c r="D9" s="187" t="s">
        <v>881</v>
      </c>
      <c r="E9" s="965">
        <v>2431393</v>
      </c>
      <c r="F9" s="196">
        <v>609888</v>
      </c>
      <c r="G9" s="877">
        <f>F9/E9</f>
        <v>0.25083892237906419</v>
      </c>
      <c r="H9" s="196">
        <v>3940</v>
      </c>
      <c r="I9" s="14"/>
      <c r="J9" s="966">
        <v>2491713</v>
      </c>
      <c r="K9" s="196">
        <f>G9*J9</f>
        <v>625018.60379790515</v>
      </c>
      <c r="L9" s="196">
        <f>K9*0.9072</f>
        <v>567016.87736545957</v>
      </c>
      <c r="M9" s="967">
        <f>L9/1000000</f>
        <v>0.56701687736545958</v>
      </c>
    </row>
    <row r="10" spans="1:14" ht="11.25" customHeight="1">
      <c r="C10" s="182"/>
      <c r="D10" s="14"/>
      <c r="E10" s="965"/>
      <c r="F10" s="196"/>
      <c r="G10" s="877"/>
      <c r="H10" s="14"/>
      <c r="I10" s="14"/>
      <c r="J10" s="966"/>
      <c r="K10" s="196"/>
      <c r="L10" s="14"/>
      <c r="M10" s="967"/>
    </row>
    <row r="11" spans="1:14" ht="12.75" customHeight="1">
      <c r="C11" s="182" t="s">
        <v>882</v>
      </c>
      <c r="D11" s="187" t="s">
        <v>883</v>
      </c>
      <c r="E11" s="965">
        <v>2493066</v>
      </c>
      <c r="F11" s="196">
        <v>3019471</v>
      </c>
      <c r="G11" s="877">
        <f>F11/E11</f>
        <v>1.211147639091785</v>
      </c>
      <c r="H11" s="14"/>
      <c r="I11" s="14"/>
      <c r="J11" s="966">
        <v>2545136</v>
      </c>
      <c r="K11" s="196">
        <f>G11*J11</f>
        <v>3082535.4575675093</v>
      </c>
      <c r="L11" s="196">
        <f>K11*0.9072</f>
        <v>2796476.1671052445</v>
      </c>
      <c r="M11" s="967">
        <f>L11/1000000</f>
        <v>2.7964761671052445</v>
      </c>
    </row>
    <row r="12" spans="1:14" ht="11.25" customHeight="1">
      <c r="C12" s="182"/>
      <c r="D12" s="14"/>
      <c r="E12" s="965"/>
      <c r="F12" s="196"/>
      <c r="G12" s="877"/>
      <c r="H12" s="14"/>
      <c r="I12" s="14"/>
      <c r="J12" s="966"/>
      <c r="K12" s="196"/>
      <c r="L12" s="14"/>
      <c r="M12" s="967"/>
    </row>
    <row r="13" spans="1:14" ht="12.75" customHeight="1">
      <c r="C13" s="182" t="s">
        <v>884</v>
      </c>
      <c r="D13" s="187" t="s">
        <v>885</v>
      </c>
      <c r="E13" s="965">
        <v>2692020</v>
      </c>
      <c r="F13" s="196">
        <v>246133</v>
      </c>
      <c r="G13" s="877">
        <f>F13/E13</f>
        <v>9.1430598583962977E-2</v>
      </c>
      <c r="H13" s="14"/>
      <c r="I13" s="14"/>
      <c r="J13" s="966">
        <v>2816577</v>
      </c>
      <c r="K13" s="196">
        <f>G13*J13</f>
        <v>257521.32106782269</v>
      </c>
      <c r="L13" s="196">
        <f>K13*0.9072</f>
        <v>233623.34247272875</v>
      </c>
      <c r="M13" s="967">
        <f>L13/1000000</f>
        <v>0.23362334247272876</v>
      </c>
    </row>
    <row r="14" spans="1:14" ht="11.25" customHeight="1">
      <c r="C14" s="182"/>
      <c r="D14" s="14"/>
      <c r="E14" s="14"/>
      <c r="F14" s="14"/>
      <c r="G14" s="14"/>
      <c r="H14" s="14"/>
      <c r="I14" s="14"/>
      <c r="J14" s="14"/>
      <c r="K14" s="14"/>
      <c r="L14" s="14"/>
      <c r="M14" s="967"/>
    </row>
    <row r="15" spans="1:14" ht="13.5" customHeight="1">
      <c r="C15" s="217"/>
      <c r="D15" s="218"/>
      <c r="E15" s="218"/>
      <c r="F15" s="218"/>
      <c r="G15" s="218"/>
      <c r="H15" s="218"/>
      <c r="I15" s="218"/>
      <c r="J15" s="218"/>
      <c r="K15" s="218"/>
      <c r="L15" s="968">
        <f t="shared" ref="L15:M15" si="0">SUM(L9:L14)</f>
        <v>3597116.386943433</v>
      </c>
      <c r="M15" s="969">
        <f t="shared" si="0"/>
        <v>3.5971163869434326</v>
      </c>
      <c r="N15" s="970"/>
    </row>
    <row r="16" spans="1:14" ht="12" customHeight="1"/>
    <row r="17" spans="3:3" ht="12.75" customHeight="1">
      <c r="C17" s="173"/>
    </row>
    <row r="18" spans="3:3" ht="11.25" customHeight="1"/>
    <row r="19" spans="3:3" ht="11.25" customHeight="1"/>
    <row r="20" spans="3:3" ht="11.25" customHeight="1"/>
    <row r="21" spans="3:3" ht="11.25" customHeight="1"/>
    <row r="22" spans="3:3" ht="11.25" customHeight="1"/>
    <row r="23" spans="3:3" ht="11.25" customHeight="1"/>
    <row r="24" spans="3:3" ht="11.25" customHeight="1"/>
    <row r="25" spans="3:3" ht="11.25" customHeight="1"/>
    <row r="26" spans="3:3" ht="11.25" customHeight="1"/>
    <row r="27" spans="3:3" ht="11.25" customHeight="1"/>
    <row r="28" spans="3:3" ht="11.25" customHeight="1"/>
    <row r="29" spans="3:3" ht="11.25" customHeight="1"/>
    <row r="30" spans="3:3" ht="11.25" customHeight="1"/>
    <row r="31" spans="3:3" ht="11.25" customHeight="1"/>
    <row r="32" spans="3:3"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000"/>
  <sheetViews>
    <sheetView workbookViewId="0"/>
  </sheetViews>
  <sheetFormatPr defaultColWidth="16.85546875" defaultRowHeight="15" customHeight="1"/>
  <cols>
    <col min="1" max="2" width="8" customWidth="1"/>
    <col min="3" max="3" width="26.28515625" customWidth="1"/>
    <col min="4" max="4" width="32.140625" customWidth="1"/>
    <col min="5" max="5" width="19.42578125" customWidth="1"/>
    <col min="6" max="6" width="2.28515625" customWidth="1"/>
    <col min="7" max="7" width="18.140625" customWidth="1"/>
    <col min="8" max="8" width="2.28515625" customWidth="1"/>
    <col min="9" max="9" width="14.42578125" customWidth="1"/>
    <col min="10" max="10" width="13.28515625" customWidth="1"/>
    <col min="11" max="19" width="8" customWidth="1"/>
  </cols>
  <sheetData>
    <row r="1" spans="1:19" ht="33" customHeight="1">
      <c r="A1" s="17" t="s">
        <v>69</v>
      </c>
      <c r="B1" s="171"/>
      <c r="E1" s="13"/>
      <c r="G1" s="14"/>
      <c r="H1" s="14"/>
    </row>
    <row r="2" spans="1:19" ht="57.75" customHeight="1">
      <c r="B2" s="921"/>
      <c r="C2" s="921"/>
      <c r="D2" s="922"/>
      <c r="E2" s="922"/>
      <c r="F2" s="922"/>
      <c r="G2" s="922"/>
      <c r="H2" s="923"/>
      <c r="I2" s="14"/>
      <c r="J2" s="923"/>
      <c r="K2" s="923"/>
      <c r="L2" s="923"/>
      <c r="M2" s="14"/>
      <c r="N2" s="14"/>
      <c r="O2" s="14"/>
      <c r="P2" s="14"/>
      <c r="Q2" s="14"/>
      <c r="R2" s="14"/>
      <c r="S2" s="14"/>
    </row>
    <row r="3" spans="1:19" ht="13.5" customHeight="1">
      <c r="B3" s="924"/>
      <c r="C3" s="925"/>
      <c r="D3" s="926" t="s">
        <v>863</v>
      </c>
      <c r="E3" s="926" t="s">
        <v>451</v>
      </c>
      <c r="F3" s="926"/>
      <c r="G3" s="926" t="s">
        <v>864</v>
      </c>
      <c r="H3" s="925"/>
      <c r="I3" s="926" t="s">
        <v>95</v>
      </c>
      <c r="J3" s="927" t="s">
        <v>95</v>
      </c>
      <c r="K3" s="14"/>
      <c r="L3" s="14"/>
      <c r="M3" s="14"/>
      <c r="N3" s="14"/>
      <c r="O3" s="14"/>
      <c r="P3" s="14"/>
      <c r="Q3" s="14"/>
      <c r="R3" s="14"/>
      <c r="S3" s="14"/>
    </row>
    <row r="4" spans="1:19" ht="14.25" customHeight="1">
      <c r="B4" s="928"/>
      <c r="C4" s="929"/>
      <c r="D4" s="930" t="s">
        <v>845</v>
      </c>
      <c r="E4" s="930" t="s">
        <v>865</v>
      </c>
      <c r="F4" s="930"/>
      <c r="G4" s="930" t="s">
        <v>866</v>
      </c>
      <c r="H4" s="929"/>
      <c r="I4" s="930" t="s">
        <v>867</v>
      </c>
      <c r="J4" s="931" t="s">
        <v>868</v>
      </c>
      <c r="K4" s="14"/>
      <c r="L4" s="14"/>
      <c r="M4" s="14"/>
      <c r="N4" s="14"/>
      <c r="O4" s="14"/>
      <c r="P4" s="14"/>
      <c r="Q4" s="14"/>
      <c r="R4" s="14"/>
      <c r="S4" s="14"/>
    </row>
    <row r="5" spans="1:19" ht="12.75" customHeight="1">
      <c r="B5" s="928"/>
      <c r="C5" s="932"/>
      <c r="D5" s="930"/>
      <c r="E5" s="930"/>
      <c r="F5" s="930"/>
      <c r="G5" s="930"/>
      <c r="H5" s="930"/>
      <c r="I5" s="930"/>
      <c r="J5" s="933"/>
      <c r="K5" s="14"/>
      <c r="L5" s="14"/>
      <c r="M5" s="14"/>
      <c r="N5" s="14"/>
      <c r="O5" s="14"/>
      <c r="P5" s="14"/>
      <c r="Q5" s="14"/>
      <c r="R5" s="14"/>
      <c r="S5" s="14"/>
    </row>
    <row r="6" spans="1:19" ht="12.75" customHeight="1">
      <c r="B6" s="934"/>
      <c r="C6" s="935"/>
      <c r="D6" s="929"/>
      <c r="E6" s="929"/>
      <c r="F6" s="929"/>
      <c r="G6" s="936"/>
      <c r="H6" s="929"/>
      <c r="I6" s="929"/>
      <c r="J6" s="933"/>
      <c r="K6" s="14"/>
      <c r="L6" s="14"/>
      <c r="M6" s="14"/>
      <c r="N6" s="14"/>
      <c r="O6" s="14"/>
      <c r="P6" s="14"/>
      <c r="Q6" s="14"/>
      <c r="R6" s="14"/>
      <c r="S6" s="14"/>
    </row>
    <row r="7" spans="1:19" ht="12.75" customHeight="1">
      <c r="B7" s="937">
        <v>2006</v>
      </c>
      <c r="C7" s="938" t="s">
        <v>74</v>
      </c>
      <c r="D7" s="939">
        <v>0</v>
      </c>
      <c r="E7" s="940">
        <v>1.2</v>
      </c>
      <c r="F7" s="940"/>
      <c r="G7" s="941">
        <f>D8*E8</f>
        <v>627.06999999999994</v>
      </c>
      <c r="H7" s="935"/>
      <c r="I7" s="941">
        <f>IF(D7&gt;0,D7*E7-(G7),0)</f>
        <v>0</v>
      </c>
      <c r="J7" s="942"/>
      <c r="K7" s="943"/>
      <c r="L7" s="14"/>
      <c r="M7" s="14"/>
      <c r="N7" s="14"/>
      <c r="O7" s="14"/>
      <c r="P7" s="14"/>
      <c r="Q7" s="14"/>
      <c r="R7" s="14"/>
      <c r="S7" s="14"/>
    </row>
    <row r="8" spans="1:19" ht="12.75" customHeight="1">
      <c r="B8" s="944">
        <v>18</v>
      </c>
      <c r="C8" s="938" t="s">
        <v>78</v>
      </c>
      <c r="D8" s="939">
        <v>859</v>
      </c>
      <c r="E8" s="945">
        <v>0.73</v>
      </c>
      <c r="F8" s="945"/>
      <c r="G8" s="935"/>
      <c r="H8" s="935"/>
      <c r="I8" s="941">
        <f>D8*E8</f>
        <v>627.06999999999994</v>
      </c>
      <c r="J8" s="946">
        <f>I8/1000000</f>
        <v>6.2706999999999997E-4</v>
      </c>
      <c r="K8" s="943"/>
      <c r="L8" s="14"/>
      <c r="M8" s="14"/>
      <c r="N8" s="14"/>
      <c r="O8" s="14"/>
      <c r="P8" s="14"/>
      <c r="Q8" s="14"/>
      <c r="R8" s="14"/>
      <c r="S8" s="14"/>
    </row>
    <row r="9" spans="1:19" ht="13.5" customHeight="1">
      <c r="B9" s="947"/>
      <c r="C9" s="948"/>
      <c r="D9" s="949"/>
      <c r="E9" s="949"/>
      <c r="F9" s="949"/>
      <c r="G9" s="950"/>
      <c r="H9" s="949"/>
      <c r="I9" s="949"/>
      <c r="J9" s="951"/>
      <c r="K9" s="14"/>
      <c r="L9" s="14"/>
      <c r="M9" s="14"/>
      <c r="N9" s="14"/>
      <c r="O9" s="14"/>
      <c r="P9" s="14"/>
      <c r="Q9" s="14"/>
      <c r="R9" s="14"/>
      <c r="S9" s="14"/>
    </row>
    <row r="10" spans="1:19" ht="12" customHeight="1"/>
    <row r="11" spans="1:19" ht="11.25" customHeight="1"/>
    <row r="12" spans="1:19" ht="11.25" customHeight="1"/>
    <row r="13" spans="1:19" ht="11.25" customHeight="1"/>
    <row r="14" spans="1:19" ht="11.25" customHeight="1"/>
    <row r="15" spans="1:19" ht="11.25" customHeight="1"/>
    <row r="16" spans="1:19"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C450"/>
  <sheetViews>
    <sheetView workbookViewId="0"/>
  </sheetViews>
  <sheetFormatPr defaultColWidth="16.85546875" defaultRowHeight="15" customHeight="1"/>
  <cols>
    <col min="1" max="1" width="6" customWidth="1"/>
    <col min="2" max="2" width="34.28515625" customWidth="1"/>
    <col min="3" max="3" width="11" customWidth="1"/>
    <col min="4" max="4" width="3.85546875" customWidth="1"/>
    <col min="5" max="5" width="13.140625" customWidth="1"/>
    <col min="6" max="6" width="3.85546875" customWidth="1"/>
    <col min="7" max="7" width="12" customWidth="1"/>
    <col min="8" max="8" width="3.85546875" customWidth="1"/>
    <col min="9" max="9" width="12.28515625" customWidth="1"/>
    <col min="10" max="10" width="3.85546875" customWidth="1"/>
    <col min="11" max="11" width="12.28515625" customWidth="1"/>
    <col min="12" max="12" width="3.85546875" customWidth="1"/>
    <col min="13" max="13" width="12.28515625" customWidth="1"/>
    <col min="14" max="14" width="3.85546875" customWidth="1"/>
    <col min="15" max="15" width="10.85546875" customWidth="1"/>
    <col min="16" max="16" width="3.85546875" customWidth="1"/>
    <col min="17" max="17" width="11" customWidth="1"/>
    <col min="18" max="18" width="3.85546875" customWidth="1"/>
    <col min="19" max="19" width="12.7109375" customWidth="1"/>
    <col min="20" max="20" width="3.85546875" customWidth="1"/>
    <col min="21" max="21" width="13" customWidth="1"/>
    <col min="22" max="22" width="3.85546875" customWidth="1"/>
    <col min="23" max="23" width="12.42578125" customWidth="1"/>
    <col min="24" max="24" width="2.85546875" customWidth="1"/>
    <col min="25" max="25" width="14" customWidth="1"/>
    <col min="26" max="26" width="8" customWidth="1"/>
    <col min="27" max="27" width="10.7109375" customWidth="1"/>
    <col min="28" max="28" width="2.85546875" customWidth="1"/>
    <col min="29" max="29" width="10.7109375" customWidth="1"/>
    <col min="30" max="30" width="2.85546875" customWidth="1"/>
    <col min="31" max="31" width="10.42578125" customWidth="1"/>
    <col min="32" max="81" width="8" customWidth="1"/>
  </cols>
  <sheetData>
    <row r="1" spans="1:46" ht="33" customHeight="1">
      <c r="A1" s="17" t="s">
        <v>1203</v>
      </c>
      <c r="E1" s="13"/>
    </row>
    <row r="2" spans="1:46" ht="393.75" customHeight="1">
      <c r="A2" s="14"/>
      <c r="B2" s="1728"/>
      <c r="C2" s="1660"/>
      <c r="D2" s="1660"/>
      <c r="E2" s="1660"/>
      <c r="F2" s="1660"/>
      <c r="G2" s="1660"/>
      <c r="H2" s="1660"/>
      <c r="I2" s="1660"/>
      <c r="J2" s="1660"/>
      <c r="K2" s="1660"/>
      <c r="L2" s="1660"/>
      <c r="M2" s="1660"/>
      <c r="N2" s="1660"/>
      <c r="O2" s="1660"/>
      <c r="P2" s="1660"/>
      <c r="Q2" s="1660"/>
      <c r="R2" s="1660"/>
      <c r="S2" s="1660"/>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6" ht="19.5" customHeight="1">
      <c r="B3" s="1274" t="s">
        <v>1204</v>
      </c>
      <c r="C3" s="1275"/>
      <c r="D3" s="1275"/>
      <c r="E3" s="1275"/>
    </row>
    <row r="4" spans="1:46" ht="36.75" customHeight="1">
      <c r="B4" s="14"/>
      <c r="C4" s="1276" t="s">
        <v>1205</v>
      </c>
      <c r="D4" s="1276"/>
      <c r="E4" s="1276" t="s">
        <v>1206</v>
      </c>
      <c r="F4" s="1276"/>
      <c r="G4" s="1276" t="s">
        <v>1207</v>
      </c>
      <c r="H4" s="187"/>
      <c r="I4" s="1276" t="s">
        <v>1208</v>
      </c>
      <c r="J4" s="187"/>
      <c r="K4" s="1276" t="s">
        <v>1149</v>
      </c>
      <c r="L4" s="187"/>
      <c r="M4" s="1276" t="s">
        <v>1209</v>
      </c>
      <c r="Y4" s="1663" t="s">
        <v>1</v>
      </c>
      <c r="Z4" s="1664"/>
    </row>
    <row r="5" spans="1:46" ht="11.25" customHeight="1">
      <c r="B5" s="895" t="s">
        <v>1210</v>
      </c>
      <c r="C5" s="754"/>
      <c r="D5" s="1256"/>
      <c r="I5" s="1277"/>
      <c r="Y5" s="25"/>
      <c r="Z5" s="25"/>
    </row>
    <row r="6" spans="1:46" ht="11.25" customHeight="1">
      <c r="B6" s="1278" t="s">
        <v>1211</v>
      </c>
      <c r="C6" s="1279">
        <v>70</v>
      </c>
      <c r="D6" s="1256" t="s">
        <v>57</v>
      </c>
      <c r="E6" s="1280">
        <v>129.14362824819554</v>
      </c>
      <c r="F6" s="1256" t="s">
        <v>58</v>
      </c>
      <c r="G6" s="1281">
        <f t="shared" ref="G6:G9" si="0">C6*E6*1000</f>
        <v>9040053.9773736876</v>
      </c>
      <c r="H6" s="1256" t="s">
        <v>58</v>
      </c>
      <c r="I6" s="1282">
        <f t="shared" ref="I6:I9" si="1">G6/1000*10^-6</f>
        <v>9.0400539773736865E-3</v>
      </c>
      <c r="J6" s="1256" t="s">
        <v>58</v>
      </c>
      <c r="K6" s="1283">
        <f>(I6*$Z$7)*12/44</f>
        <v>6.9033139463580875E-2</v>
      </c>
      <c r="L6" s="1256" t="s">
        <v>58</v>
      </c>
      <c r="M6" s="1283">
        <f t="shared" ref="M6:M9" si="2">K6/(12/44)</f>
        <v>0.25312151136646321</v>
      </c>
      <c r="Y6" s="26" t="s">
        <v>60</v>
      </c>
      <c r="Z6" s="27">
        <f>Summary!$E4</f>
        <v>1</v>
      </c>
    </row>
    <row r="7" spans="1:46" ht="11.25" customHeight="1">
      <c r="B7" s="1278" t="s">
        <v>1212</v>
      </c>
      <c r="C7" s="1284">
        <v>30</v>
      </c>
      <c r="D7" s="1256" t="s">
        <v>57</v>
      </c>
      <c r="E7" s="1280">
        <v>62.580097028641497</v>
      </c>
      <c r="F7" s="1256" t="s">
        <v>58</v>
      </c>
      <c r="G7" s="1281">
        <f t="shared" si="0"/>
        <v>1877402.9108592449</v>
      </c>
      <c r="H7" s="1256" t="s">
        <v>58</v>
      </c>
      <c r="I7" s="1282">
        <f t="shared" si="1"/>
        <v>1.8774029108592448E-3</v>
      </c>
      <c r="J7" s="1256" t="s">
        <v>58</v>
      </c>
      <c r="K7" s="1283">
        <f>(I7*$Z$7)*12/44</f>
        <v>1.4336531319288777E-2</v>
      </c>
      <c r="L7" s="1256" t="s">
        <v>58</v>
      </c>
      <c r="M7" s="1283">
        <f t="shared" si="2"/>
        <v>5.2567281504058851E-2</v>
      </c>
      <c r="Y7" s="26" t="s">
        <v>62</v>
      </c>
      <c r="Z7" s="27">
        <f>Summary!$E5</f>
        <v>28</v>
      </c>
    </row>
    <row r="8" spans="1:46" ht="11.25" customHeight="1">
      <c r="B8" s="1278" t="s">
        <v>1213</v>
      </c>
      <c r="C8" s="1284">
        <v>0</v>
      </c>
      <c r="D8" s="1256" t="s">
        <v>57</v>
      </c>
      <c r="E8" s="1280">
        <v>46.088127631421706</v>
      </c>
      <c r="F8" s="1256" t="s">
        <v>58</v>
      </c>
      <c r="G8" s="1281">
        <f t="shared" si="0"/>
        <v>0</v>
      </c>
      <c r="H8" s="1256" t="s">
        <v>58</v>
      </c>
      <c r="I8" s="1282">
        <f t="shared" si="1"/>
        <v>0</v>
      </c>
      <c r="J8" s="1256" t="s">
        <v>58</v>
      </c>
      <c r="K8" s="1283">
        <f>(I8*$Z$7)*12/44</f>
        <v>0</v>
      </c>
      <c r="L8" s="1256" t="s">
        <v>58</v>
      </c>
      <c r="M8" s="1283">
        <f t="shared" si="2"/>
        <v>0</v>
      </c>
      <c r="Y8" s="26" t="s">
        <v>63</v>
      </c>
      <c r="Z8" s="27">
        <f>Summary!$E6</f>
        <v>265</v>
      </c>
    </row>
    <row r="9" spans="1:46" ht="11.25" customHeight="1">
      <c r="B9" s="1278" t="s">
        <v>1214</v>
      </c>
      <c r="C9" s="1284">
        <v>0</v>
      </c>
      <c r="D9" s="1256" t="s">
        <v>57</v>
      </c>
      <c r="E9" s="1280">
        <v>69.571209567953133</v>
      </c>
      <c r="F9" s="1256" t="s">
        <v>58</v>
      </c>
      <c r="G9" s="1281">
        <f t="shared" si="0"/>
        <v>0</v>
      </c>
      <c r="H9" s="1256" t="s">
        <v>58</v>
      </c>
      <c r="I9" s="1282">
        <f t="shared" si="1"/>
        <v>0</v>
      </c>
      <c r="J9" s="1256" t="s">
        <v>58</v>
      </c>
      <c r="K9" s="1283">
        <f>(I9*$Z$7)*12/44</f>
        <v>0</v>
      </c>
      <c r="L9" s="1256" t="s">
        <v>58</v>
      </c>
      <c r="M9" s="1283">
        <f t="shared" si="2"/>
        <v>0</v>
      </c>
      <c r="Y9" s="26" t="s">
        <v>65</v>
      </c>
      <c r="Z9" s="29">
        <f>Summary!$E7</f>
        <v>23500</v>
      </c>
    </row>
    <row r="10" spans="1:46" ht="11.25" customHeight="1">
      <c r="B10" s="895" t="s">
        <v>1215</v>
      </c>
      <c r="C10" s="1285"/>
      <c r="D10" s="1256"/>
      <c r="E10" s="1286"/>
      <c r="F10" s="1256"/>
      <c r="G10" s="1287"/>
      <c r="H10" s="1256"/>
      <c r="I10" s="1288"/>
      <c r="J10" s="1256"/>
      <c r="K10" s="1289"/>
      <c r="L10" s="1256"/>
      <c r="M10" s="1289"/>
      <c r="Y10" s="26"/>
      <c r="Z10" s="29"/>
    </row>
    <row r="11" spans="1:46" ht="11.25" customHeight="1">
      <c r="B11" s="1278" t="s">
        <v>1216</v>
      </c>
      <c r="C11" s="1284">
        <v>49</v>
      </c>
      <c r="D11" s="1256" t="s">
        <v>57</v>
      </c>
      <c r="E11" s="1280">
        <v>93.473136169388326</v>
      </c>
      <c r="F11" s="1256" t="s">
        <v>58</v>
      </c>
      <c r="G11" s="1281">
        <f t="shared" ref="G11:G19" si="3">C11*E11*1000</f>
        <v>4580183.6723000277</v>
      </c>
      <c r="H11" s="1256" t="s">
        <v>58</v>
      </c>
      <c r="I11" s="1282">
        <f t="shared" ref="I11:I19" si="4">G11/1000*10^-6</f>
        <v>4.580183672300028E-3</v>
      </c>
      <c r="J11" s="1256" t="s">
        <v>58</v>
      </c>
      <c r="K11" s="1283">
        <f t="shared" ref="K11:K19" si="5">(I11*$Z$7)*12/44</f>
        <v>3.4975948043018394E-2</v>
      </c>
      <c r="L11" s="1256" t="s">
        <v>58</v>
      </c>
      <c r="M11" s="1283">
        <f t="shared" ref="M11:M19" si="6">K11/(12/44)</f>
        <v>0.12824514282440078</v>
      </c>
    </row>
    <row r="12" spans="1:46" ht="11.25" customHeight="1">
      <c r="B12" s="1278" t="s">
        <v>1217</v>
      </c>
      <c r="C12" s="1284">
        <v>13</v>
      </c>
      <c r="D12" s="1256" t="s">
        <v>57</v>
      </c>
      <c r="E12" s="1280">
        <v>65.827953765515716</v>
      </c>
      <c r="F12" s="1256" t="s">
        <v>58</v>
      </c>
      <c r="G12" s="1281">
        <f t="shared" si="3"/>
        <v>855763.39895170426</v>
      </c>
      <c r="H12" s="1256" t="s">
        <v>58</v>
      </c>
      <c r="I12" s="1282">
        <f t="shared" si="4"/>
        <v>8.557633989517043E-4</v>
      </c>
      <c r="J12" s="1256" t="s">
        <v>58</v>
      </c>
      <c r="K12" s="1283">
        <f t="shared" si="5"/>
        <v>6.534920501085742E-3</v>
      </c>
      <c r="L12" s="1256" t="s">
        <v>58</v>
      </c>
      <c r="M12" s="1283">
        <f t="shared" si="6"/>
        <v>2.3961375170647722E-2</v>
      </c>
    </row>
    <row r="13" spans="1:46" ht="11.25" customHeight="1">
      <c r="B13" s="1278" t="s">
        <v>1213</v>
      </c>
      <c r="C13" s="1284">
        <v>0</v>
      </c>
      <c r="D13" s="1256" t="s">
        <v>57</v>
      </c>
      <c r="E13" s="1280">
        <v>59.202111218634663</v>
      </c>
      <c r="F13" s="1256" t="s">
        <v>58</v>
      </c>
      <c r="G13" s="1281">
        <f t="shared" si="3"/>
        <v>0</v>
      </c>
      <c r="H13" s="1256" t="s">
        <v>58</v>
      </c>
      <c r="I13" s="1282">
        <f t="shared" si="4"/>
        <v>0</v>
      </c>
      <c r="J13" s="1256" t="s">
        <v>58</v>
      </c>
      <c r="K13" s="1283">
        <f t="shared" si="5"/>
        <v>0</v>
      </c>
      <c r="L13" s="1256" t="s">
        <v>58</v>
      </c>
      <c r="M13" s="1283">
        <f t="shared" si="6"/>
        <v>0</v>
      </c>
    </row>
    <row r="14" spans="1:46" ht="11.25" customHeight="1">
      <c r="B14" s="1278" t="s">
        <v>1214</v>
      </c>
      <c r="C14" s="1284">
        <v>0</v>
      </c>
      <c r="D14" s="1256" t="s">
        <v>57</v>
      </c>
      <c r="E14" s="1280">
        <v>68.604947979802589</v>
      </c>
      <c r="F14" s="1256" t="s">
        <v>58</v>
      </c>
      <c r="G14" s="1281">
        <f t="shared" si="3"/>
        <v>0</v>
      </c>
      <c r="H14" s="1256" t="s">
        <v>58</v>
      </c>
      <c r="I14" s="1282">
        <f t="shared" si="4"/>
        <v>0</v>
      </c>
      <c r="J14" s="1256" t="s">
        <v>58</v>
      </c>
      <c r="K14" s="1283">
        <f t="shared" si="5"/>
        <v>0</v>
      </c>
      <c r="L14" s="1256" t="s">
        <v>58</v>
      </c>
      <c r="M14" s="1283">
        <f t="shared" si="6"/>
        <v>0</v>
      </c>
    </row>
    <row r="15" spans="1:46" ht="11.25" customHeight="1">
      <c r="B15" s="1278" t="s">
        <v>1218</v>
      </c>
      <c r="C15" s="1284">
        <v>10</v>
      </c>
      <c r="D15" s="1256" t="s">
        <v>57</v>
      </c>
      <c r="E15" s="1280">
        <v>59.110511174382182</v>
      </c>
      <c r="F15" s="1256" t="s">
        <v>58</v>
      </c>
      <c r="G15" s="1281">
        <f t="shared" si="3"/>
        <v>591105.11174382176</v>
      </c>
      <c r="H15" s="1256" t="s">
        <v>58</v>
      </c>
      <c r="I15" s="1282">
        <f t="shared" si="4"/>
        <v>5.9110511174382174E-4</v>
      </c>
      <c r="J15" s="1256" t="s">
        <v>58</v>
      </c>
      <c r="K15" s="1283">
        <f t="shared" si="5"/>
        <v>4.513893580589185E-3</v>
      </c>
      <c r="L15" s="1256" t="s">
        <v>58</v>
      </c>
      <c r="M15" s="1283">
        <f t="shared" si="6"/>
        <v>1.6550943128827014E-2</v>
      </c>
    </row>
    <row r="16" spans="1:46" ht="11.25" customHeight="1">
      <c r="B16" s="1278" t="s">
        <v>1219</v>
      </c>
      <c r="C16" s="1284">
        <v>18</v>
      </c>
      <c r="D16" s="1256" t="s">
        <v>57</v>
      </c>
      <c r="E16" s="1280">
        <v>57.315384474713255</v>
      </c>
      <c r="F16" s="1256" t="s">
        <v>58</v>
      </c>
      <c r="G16" s="1281">
        <f t="shared" si="3"/>
        <v>1031676.9205448386</v>
      </c>
      <c r="H16" s="1256" t="s">
        <v>58</v>
      </c>
      <c r="I16" s="1282">
        <f t="shared" si="4"/>
        <v>1.0316769205448385E-3</v>
      </c>
      <c r="J16" s="1256" t="s">
        <v>58</v>
      </c>
      <c r="K16" s="1283">
        <f t="shared" si="5"/>
        <v>7.8782601205242206E-3</v>
      </c>
      <c r="L16" s="1256" t="s">
        <v>58</v>
      </c>
      <c r="M16" s="1283">
        <f t="shared" si="6"/>
        <v>2.8886953775255478E-2</v>
      </c>
    </row>
    <row r="17" spans="2:23" ht="11.25" customHeight="1">
      <c r="B17" s="1278" t="s">
        <v>1220</v>
      </c>
      <c r="C17" s="1284">
        <v>3.9119999999999999</v>
      </c>
      <c r="D17" s="1256" t="s">
        <v>57</v>
      </c>
      <c r="E17" s="1280">
        <v>33.198701729144084</v>
      </c>
      <c r="F17" s="1256" t="s">
        <v>58</v>
      </c>
      <c r="G17" s="1281">
        <f t="shared" si="3"/>
        <v>129873.32116441167</v>
      </c>
      <c r="H17" s="1256" t="s">
        <v>58</v>
      </c>
      <c r="I17" s="1282">
        <f t="shared" si="4"/>
        <v>1.2987332116441166E-4</v>
      </c>
      <c r="J17" s="1256" t="s">
        <v>58</v>
      </c>
      <c r="K17" s="1283">
        <f t="shared" si="5"/>
        <v>9.9175990707368899E-4</v>
      </c>
      <c r="L17" s="1256" t="s">
        <v>58</v>
      </c>
      <c r="M17" s="1283">
        <f t="shared" si="6"/>
        <v>3.6364529926035264E-3</v>
      </c>
    </row>
    <row r="18" spans="2:23" ht="11.25" customHeight="1">
      <c r="B18" s="1278" t="s">
        <v>1221</v>
      </c>
      <c r="C18" s="1284">
        <v>7.3949999999999996</v>
      </c>
      <c r="D18" s="1256" t="s">
        <v>57</v>
      </c>
      <c r="E18" s="1280">
        <v>32.164080937316001</v>
      </c>
      <c r="F18" s="1256" t="s">
        <v>58</v>
      </c>
      <c r="G18" s="1281">
        <f t="shared" si="3"/>
        <v>237853.37853145183</v>
      </c>
      <c r="H18" s="1256" t="s">
        <v>58</v>
      </c>
      <c r="I18" s="1282">
        <f t="shared" si="4"/>
        <v>2.3785337853145182E-4</v>
      </c>
      <c r="J18" s="1256" t="s">
        <v>58</v>
      </c>
      <c r="K18" s="1283">
        <f t="shared" si="5"/>
        <v>1.8163348906038137E-3</v>
      </c>
      <c r="L18" s="1256" t="s">
        <v>58</v>
      </c>
      <c r="M18" s="1283">
        <f t="shared" si="6"/>
        <v>6.6598945988806512E-3</v>
      </c>
    </row>
    <row r="19" spans="2:23" ht="11.25" customHeight="1">
      <c r="B19" s="1278" t="s">
        <v>1222</v>
      </c>
      <c r="C19" s="1284">
        <v>3</v>
      </c>
      <c r="D19" s="1256" t="s">
        <v>57</v>
      </c>
      <c r="E19" s="1290">
        <v>53</v>
      </c>
      <c r="F19" s="1256" t="s">
        <v>58</v>
      </c>
      <c r="G19" s="1281">
        <f t="shared" si="3"/>
        <v>159000</v>
      </c>
      <c r="H19" s="1256" t="s">
        <v>58</v>
      </c>
      <c r="I19" s="1282">
        <f t="shared" si="4"/>
        <v>1.5899999999999999E-4</v>
      </c>
      <c r="J19" s="1256" t="s">
        <v>58</v>
      </c>
      <c r="K19" s="1283">
        <f t="shared" si="5"/>
        <v>1.214181818181818E-3</v>
      </c>
      <c r="L19" s="1256" t="s">
        <v>58</v>
      </c>
      <c r="M19" s="1283">
        <f t="shared" si="6"/>
        <v>4.4519999999999994E-3</v>
      </c>
    </row>
    <row r="20" spans="2:23" ht="11.25" customHeight="1">
      <c r="B20" s="895" t="s">
        <v>592</v>
      </c>
      <c r="C20" s="1291"/>
      <c r="D20" s="1256"/>
      <c r="E20" s="1286"/>
      <c r="F20" s="1256"/>
      <c r="G20" s="1287"/>
      <c r="H20" s="1256"/>
      <c r="I20" s="1288"/>
      <c r="J20" s="1256"/>
      <c r="K20" s="1289"/>
      <c r="L20" s="1256"/>
      <c r="M20" s="1289"/>
    </row>
    <row r="21" spans="2:23" ht="11.25" customHeight="1">
      <c r="B21" s="1278" t="s">
        <v>1223</v>
      </c>
      <c r="C21" s="1284">
        <v>22</v>
      </c>
      <c r="D21" s="1256" t="s">
        <v>57</v>
      </c>
      <c r="E21" s="1292">
        <v>8</v>
      </c>
      <c r="F21" s="1256" t="s">
        <v>58</v>
      </c>
      <c r="G21" s="1281">
        <f t="shared" ref="G21:G24" si="7">C21*E21*1000</f>
        <v>176000</v>
      </c>
      <c r="H21" s="1256" t="s">
        <v>58</v>
      </c>
      <c r="I21" s="1282">
        <f t="shared" ref="I21:I24" si="8">G21/1000*10^-6</f>
        <v>1.76E-4</v>
      </c>
      <c r="J21" s="1256" t="s">
        <v>58</v>
      </c>
      <c r="K21" s="1283">
        <f>(I21*$Z$7)*12/44</f>
        <v>1.3439999999999999E-3</v>
      </c>
      <c r="L21" s="1256" t="s">
        <v>58</v>
      </c>
      <c r="M21" s="1283">
        <f t="shared" ref="M21:M24" si="9">K21/(12/44)</f>
        <v>4.9280000000000001E-3</v>
      </c>
    </row>
    <row r="22" spans="2:23" ht="11.25" customHeight="1">
      <c r="B22" s="1278" t="s">
        <v>1224</v>
      </c>
      <c r="C22" s="1284">
        <v>9.6010000000000009</v>
      </c>
      <c r="D22" s="1256" t="s">
        <v>57</v>
      </c>
      <c r="E22" s="1280">
        <v>5</v>
      </c>
      <c r="F22" s="1256" t="s">
        <v>58</v>
      </c>
      <c r="G22" s="1281">
        <f t="shared" si="7"/>
        <v>48005</v>
      </c>
      <c r="H22" s="1256" t="s">
        <v>58</v>
      </c>
      <c r="I22" s="1282">
        <f t="shared" si="8"/>
        <v>4.8004999999999999E-5</v>
      </c>
      <c r="J22" s="1256" t="s">
        <v>58</v>
      </c>
      <c r="K22" s="1283">
        <f>(I22*$Z$7)*12/44</f>
        <v>3.665836363636364E-4</v>
      </c>
      <c r="L22" s="1256" t="s">
        <v>58</v>
      </c>
      <c r="M22" s="1283">
        <f t="shared" si="9"/>
        <v>1.3441400000000002E-3</v>
      </c>
    </row>
    <row r="23" spans="2:23" ht="11.25" customHeight="1">
      <c r="B23" s="1278" t="s">
        <v>1225</v>
      </c>
      <c r="C23" s="1284">
        <v>33</v>
      </c>
      <c r="D23" s="1256" t="s">
        <v>57</v>
      </c>
      <c r="E23" s="1280">
        <v>1.5</v>
      </c>
      <c r="F23" s="1256" t="s">
        <v>58</v>
      </c>
      <c r="G23" s="1281">
        <f t="shared" si="7"/>
        <v>49500</v>
      </c>
      <c r="H23" s="1256" t="s">
        <v>58</v>
      </c>
      <c r="I23" s="1282">
        <f t="shared" si="8"/>
        <v>4.9499999999999997E-5</v>
      </c>
      <c r="J23" s="1256" t="s">
        <v>58</v>
      </c>
      <c r="K23" s="1283">
        <f>(I23*$Z$7)*12/44</f>
        <v>3.7799999999999992E-4</v>
      </c>
      <c r="L23" s="1256" t="s">
        <v>58</v>
      </c>
      <c r="M23" s="1283">
        <f t="shared" si="9"/>
        <v>1.3859999999999999E-3</v>
      </c>
    </row>
    <row r="24" spans="2:23" ht="12" customHeight="1">
      <c r="B24" s="1278" t="s">
        <v>1226</v>
      </c>
      <c r="C24" s="1284">
        <v>65.510999999999996</v>
      </c>
      <c r="D24" s="1256" t="s">
        <v>57</v>
      </c>
      <c r="E24" s="1280">
        <v>18</v>
      </c>
      <c r="F24" s="1256" t="s">
        <v>58</v>
      </c>
      <c r="G24" s="1281">
        <f t="shared" si="7"/>
        <v>1179197.9999999998</v>
      </c>
      <c r="H24" s="1256" t="s">
        <v>58</v>
      </c>
      <c r="I24" s="1282">
        <f t="shared" si="8"/>
        <v>1.1791979999999998E-3</v>
      </c>
      <c r="J24" s="1256" t="s">
        <v>58</v>
      </c>
      <c r="K24" s="1283">
        <f>(I24*$Z$7)*12/44</f>
        <v>9.0047847272727265E-3</v>
      </c>
      <c r="L24" s="1256" t="s">
        <v>58</v>
      </c>
      <c r="M24" s="1283">
        <f t="shared" si="9"/>
        <v>3.3017544000000003E-2</v>
      </c>
    </row>
    <row r="25" spans="2:23" ht="12" customHeight="1">
      <c r="B25" s="895" t="s">
        <v>725</v>
      </c>
      <c r="C25" s="754"/>
      <c r="D25" s="1256"/>
      <c r="E25" s="1256"/>
      <c r="F25" s="1256"/>
      <c r="G25" s="1293">
        <f>SUM(G6:G24)</f>
        <v>19955615.691469189</v>
      </c>
      <c r="H25" s="307"/>
      <c r="I25" s="1294">
        <f>SUM(I6:I24)</f>
        <v>1.9955615691469183E-2</v>
      </c>
      <c r="J25" s="307"/>
      <c r="K25" s="1295">
        <f>SUM(K6:K24)</f>
        <v>0.15238833800758289</v>
      </c>
      <c r="M25" s="1295">
        <f>SUM(M6:M24)</f>
        <v>0.5587572393611373</v>
      </c>
    </row>
    <row r="26" spans="2:23" ht="12" customHeight="1">
      <c r="B26" s="1296"/>
      <c r="C26" s="1297"/>
      <c r="D26" s="1298"/>
      <c r="E26" s="1298"/>
      <c r="F26" s="1298"/>
      <c r="G26" s="1299"/>
      <c r="H26" s="1300"/>
      <c r="I26" s="1301"/>
      <c r="J26" s="1300"/>
      <c r="K26" s="1302"/>
      <c r="L26" s="16"/>
      <c r="M26" s="1302"/>
      <c r="N26" s="16"/>
      <c r="O26" s="16"/>
      <c r="P26" s="16"/>
      <c r="Q26" s="16"/>
      <c r="R26" s="16"/>
      <c r="S26" s="16"/>
      <c r="T26" s="16"/>
      <c r="U26" s="16"/>
      <c r="V26" s="16"/>
      <c r="W26" s="16"/>
    </row>
    <row r="27" spans="2:23" ht="19.5" customHeight="1">
      <c r="B27" s="1274" t="s">
        <v>1227</v>
      </c>
      <c r="C27" s="1303"/>
      <c r="D27" s="1304"/>
      <c r="E27" s="1304"/>
      <c r="F27" s="1256"/>
      <c r="G27" s="1305"/>
      <c r="H27" s="307"/>
      <c r="I27" s="1306"/>
      <c r="J27" s="307"/>
      <c r="K27" s="1307"/>
      <c r="M27" s="1307"/>
    </row>
    <row r="28" spans="2:23" ht="45.75" customHeight="1">
      <c r="B28" s="187"/>
      <c r="C28" s="1308" t="s">
        <v>1228</v>
      </c>
      <c r="D28" s="1309"/>
      <c r="E28" s="1308" t="s">
        <v>1229</v>
      </c>
      <c r="F28" s="1308"/>
      <c r="G28" s="1276" t="s">
        <v>1230</v>
      </c>
      <c r="H28" s="1276"/>
      <c r="I28" s="1308" t="s">
        <v>1231</v>
      </c>
      <c r="J28" s="307"/>
      <c r="K28" s="1308" t="s">
        <v>1232</v>
      </c>
      <c r="L28" s="1308"/>
      <c r="M28" s="1308" t="s">
        <v>1233</v>
      </c>
      <c r="N28" s="1308"/>
      <c r="O28" s="1308" t="s">
        <v>1234</v>
      </c>
      <c r="P28" s="1308"/>
      <c r="Q28" s="1308" t="s">
        <v>1235</v>
      </c>
      <c r="R28" s="1308"/>
      <c r="S28" s="1308" t="s">
        <v>1236</v>
      </c>
      <c r="T28" s="1308"/>
      <c r="U28" s="1308" t="s">
        <v>1237</v>
      </c>
      <c r="V28" s="1308"/>
      <c r="W28" s="1308" t="s">
        <v>1238</v>
      </c>
    </row>
    <row r="29" spans="2:23" ht="15" customHeight="1">
      <c r="B29" s="1310" t="s">
        <v>1210</v>
      </c>
      <c r="C29" s="1308"/>
      <c r="D29" s="1311"/>
      <c r="E29" s="1312"/>
      <c r="F29" s="1311"/>
      <c r="G29" s="1311"/>
      <c r="H29" s="1311"/>
      <c r="I29" s="1308"/>
      <c r="J29" s="1308"/>
      <c r="K29" s="1308"/>
      <c r="L29" s="1308"/>
      <c r="M29" s="1256"/>
      <c r="N29" s="1308"/>
      <c r="O29" s="1313"/>
      <c r="P29" s="1314"/>
      <c r="Q29" s="754"/>
      <c r="R29" s="1308"/>
      <c r="S29" s="1308"/>
      <c r="T29" s="1308"/>
      <c r="U29" s="1308"/>
      <c r="V29" s="1308"/>
      <c r="W29" s="1308"/>
    </row>
    <row r="30" spans="2:23" ht="11.25" customHeight="1">
      <c r="B30" s="1278" t="s">
        <v>1211</v>
      </c>
      <c r="C30" s="1315">
        <v>70</v>
      </c>
      <c r="D30" s="1256" t="s">
        <v>57</v>
      </c>
      <c r="E30" s="1316">
        <v>604</v>
      </c>
      <c r="F30" s="1256" t="s">
        <v>57</v>
      </c>
      <c r="G30" s="1280">
        <v>7.7593643204450569</v>
      </c>
      <c r="H30" s="1256" t="s">
        <v>58</v>
      </c>
      <c r="I30" s="1317">
        <f t="shared" ref="I30:I31" si="10">C30*E30*G30*365</f>
        <v>119744062.06597221</v>
      </c>
      <c r="J30" s="1256" t="s">
        <v>57</v>
      </c>
      <c r="K30" s="1318">
        <v>0.24</v>
      </c>
      <c r="L30" s="1319" t="s">
        <v>57</v>
      </c>
      <c r="M30" s="1320">
        <v>0.11665927034202894</v>
      </c>
      <c r="N30" s="1319" t="s">
        <v>58</v>
      </c>
      <c r="O30" s="1317">
        <f t="shared" ref="O30:O31" si="11">(I30*K30)*M30</f>
        <v>3352621.1780176666</v>
      </c>
      <c r="P30" s="1256" t="s">
        <v>58</v>
      </c>
      <c r="Q30" s="1321">
        <f t="shared" ref="Q30:Q31" si="12">O30*0.000662</f>
        <v>2219.4352198476954</v>
      </c>
      <c r="R30" s="1256" t="s">
        <v>58</v>
      </c>
      <c r="S30" s="1322">
        <f t="shared" ref="S30:S31" si="13">Q30/1000000</f>
        <v>2.2194352198476952E-3</v>
      </c>
      <c r="T30" s="1323" t="s">
        <v>58</v>
      </c>
      <c r="U30" s="1322">
        <f>(S30*$Z$7)*12/44</f>
        <v>1.6948414406109672E-2</v>
      </c>
      <c r="V30" s="1323" t="s">
        <v>58</v>
      </c>
      <c r="W30" s="1322">
        <f t="shared" ref="W30:W31" si="14">U30/(12/44)</f>
        <v>6.214418615573547E-2</v>
      </c>
    </row>
    <row r="31" spans="2:23" ht="11.25" customHeight="1">
      <c r="B31" s="4" t="s">
        <v>1212</v>
      </c>
      <c r="C31" s="1315">
        <v>30</v>
      </c>
      <c r="D31" s="1256" t="s">
        <v>57</v>
      </c>
      <c r="E31" s="1316">
        <v>476</v>
      </c>
      <c r="F31" s="1256" t="s">
        <v>57</v>
      </c>
      <c r="G31" s="1280">
        <v>6.6952291393811194</v>
      </c>
      <c r="H31" s="1256" t="s">
        <v>58</v>
      </c>
      <c r="I31" s="1317">
        <f t="shared" si="10"/>
        <v>34896873.320282273</v>
      </c>
      <c r="J31" s="1256" t="s">
        <v>57</v>
      </c>
      <c r="K31" s="1318">
        <v>0.17</v>
      </c>
      <c r="L31" s="1319" t="s">
        <v>57</v>
      </c>
      <c r="M31" s="1320">
        <v>1.2415102875984794E-2</v>
      </c>
      <c r="N31" s="1319" t="s">
        <v>58</v>
      </c>
      <c r="O31" s="1317">
        <f t="shared" si="11"/>
        <v>73652.206294657299</v>
      </c>
      <c r="P31" s="1256" t="s">
        <v>58</v>
      </c>
      <c r="Q31" s="1321">
        <f t="shared" si="12"/>
        <v>48.757760567063137</v>
      </c>
      <c r="R31" s="1256" t="s">
        <v>58</v>
      </c>
      <c r="S31" s="1322">
        <f t="shared" si="13"/>
        <v>4.875776056706314E-5</v>
      </c>
      <c r="T31" s="1323" t="s">
        <v>58</v>
      </c>
      <c r="U31" s="1322">
        <f>(S31*$Z$7)*12/44</f>
        <v>3.7233198978484582E-4</v>
      </c>
      <c r="V31" s="1323" t="s">
        <v>58</v>
      </c>
      <c r="W31" s="1322">
        <f t="shared" si="14"/>
        <v>1.3652172958777682E-3</v>
      </c>
    </row>
    <row r="32" spans="2:23" ht="11.25" customHeight="1">
      <c r="B32" s="1310" t="s">
        <v>1215</v>
      </c>
      <c r="C32" s="1324"/>
      <c r="D32" s="1256"/>
      <c r="E32" s="1325"/>
      <c r="F32" s="1256"/>
      <c r="G32" s="1326"/>
      <c r="H32" s="1256"/>
      <c r="I32" s="1327"/>
      <c r="J32" s="1256"/>
      <c r="K32" s="1328"/>
      <c r="L32" s="1256"/>
      <c r="M32" s="1256"/>
      <c r="N32" s="1256"/>
      <c r="O32" s="1329"/>
      <c r="P32" s="1256"/>
      <c r="Q32" s="697"/>
      <c r="R32" s="1256"/>
      <c r="S32" s="1330"/>
      <c r="T32" s="1256"/>
      <c r="U32" s="1330"/>
      <c r="V32" s="1256"/>
      <c r="W32" s="1330"/>
    </row>
    <row r="33" spans="2:23" ht="11.25" customHeight="1">
      <c r="B33" s="4" t="s">
        <v>1220</v>
      </c>
      <c r="C33" s="1331">
        <v>3.9119999999999999</v>
      </c>
      <c r="D33" s="1256" t="s">
        <v>57</v>
      </c>
      <c r="E33" s="1316">
        <v>420</v>
      </c>
      <c r="F33" s="1256" t="s">
        <v>57</v>
      </c>
      <c r="G33" s="1280">
        <v>3.4985074354695973</v>
      </c>
      <c r="H33" s="1256" t="s">
        <v>58</v>
      </c>
      <c r="I33" s="1317">
        <f t="shared" ref="I33:I40" si="15">C33*E33*G33*365</f>
        <v>2098088.4947224981</v>
      </c>
      <c r="J33" s="1256" t="s">
        <v>57</v>
      </c>
      <c r="K33" s="1332">
        <v>0.33</v>
      </c>
      <c r="L33" s="1256" t="s">
        <v>57</v>
      </c>
      <c r="M33" s="1320">
        <v>1.3058095817636893E-2</v>
      </c>
      <c r="N33" s="1256" t="s">
        <v>58</v>
      </c>
      <c r="O33" s="1317">
        <f t="shared" ref="O33:O40" si="16">(I33*K33)*M33</f>
        <v>9041.0233973294198</v>
      </c>
      <c r="P33" s="1256" t="s">
        <v>58</v>
      </c>
      <c r="Q33" s="1321">
        <f t="shared" ref="Q33:Q40" si="17">O33*0.000662</f>
        <v>5.9851574890320762</v>
      </c>
      <c r="R33" s="1333" t="s">
        <v>58</v>
      </c>
      <c r="S33" s="1322">
        <f t="shared" ref="S33:S40" si="18">Q33/1000000</f>
        <v>5.9851574890320764E-6</v>
      </c>
      <c r="T33" s="1333" t="s">
        <v>58</v>
      </c>
      <c r="U33" s="1322">
        <f t="shared" ref="U33:U40" si="19">(S33*$Z$7)*12/44</f>
        <v>4.5704839007154044E-5</v>
      </c>
      <c r="V33" s="1333" t="s">
        <v>58</v>
      </c>
      <c r="W33" s="1322">
        <f t="shared" ref="W33:W40" si="20">U33/(12/44)</f>
        <v>1.6758440969289818E-4</v>
      </c>
    </row>
    <row r="34" spans="2:23" ht="11.25" customHeight="1">
      <c r="B34" s="4" t="s">
        <v>1221</v>
      </c>
      <c r="C34" s="1331">
        <v>7.3949999999999996</v>
      </c>
      <c r="D34" s="1256" t="s">
        <v>57</v>
      </c>
      <c r="E34" s="1316">
        <v>420</v>
      </c>
      <c r="F34" s="1256" t="s">
        <v>57</v>
      </c>
      <c r="G34" s="1280">
        <v>3.1748040407958564</v>
      </c>
      <c r="H34" s="1256" t="s">
        <v>58</v>
      </c>
      <c r="I34" s="1317">
        <f t="shared" si="15"/>
        <v>3599127.7126623648</v>
      </c>
      <c r="J34" s="1256" t="s">
        <v>57</v>
      </c>
      <c r="K34" s="1332">
        <v>0.33</v>
      </c>
      <c r="L34" s="1256" t="s">
        <v>57</v>
      </c>
      <c r="M34" s="1320">
        <v>1.2961076918545806E-2</v>
      </c>
      <c r="N34" s="1256" t="s">
        <v>58</v>
      </c>
      <c r="O34" s="1317">
        <f t="shared" si="16"/>
        <v>15394.028470750623</v>
      </c>
      <c r="P34" s="1256" t="s">
        <v>58</v>
      </c>
      <c r="Q34" s="1321">
        <f t="shared" si="17"/>
        <v>10.190846847636914</v>
      </c>
      <c r="R34" s="1333" t="s">
        <v>58</v>
      </c>
      <c r="S34" s="1322">
        <f t="shared" si="18"/>
        <v>1.0190846847636914E-5</v>
      </c>
      <c r="T34" s="1333" t="s">
        <v>58</v>
      </c>
      <c r="U34" s="1322">
        <f t="shared" si="19"/>
        <v>7.7821012291045527E-5</v>
      </c>
      <c r="V34" s="1333" t="s">
        <v>58</v>
      </c>
      <c r="W34" s="1322">
        <f t="shared" si="20"/>
        <v>2.8534371173383362E-4</v>
      </c>
    </row>
    <row r="35" spans="2:23" ht="11.25" customHeight="1">
      <c r="B35" s="4" t="s">
        <v>1222</v>
      </c>
      <c r="C35" s="1331">
        <v>3</v>
      </c>
      <c r="D35" s="1256" t="s">
        <v>57</v>
      </c>
      <c r="E35" s="1316">
        <v>750</v>
      </c>
      <c r="F35" s="1256" t="s">
        <v>57</v>
      </c>
      <c r="G35" s="1280">
        <v>6.04</v>
      </c>
      <c r="H35" s="1256" t="s">
        <v>58</v>
      </c>
      <c r="I35" s="1317">
        <f t="shared" si="15"/>
        <v>4960350</v>
      </c>
      <c r="J35" s="1256" t="s">
        <v>57</v>
      </c>
      <c r="K35" s="1334">
        <v>0.17</v>
      </c>
      <c r="L35" s="1256" t="s">
        <v>57</v>
      </c>
      <c r="M35" s="1320">
        <v>1.0999999999999999E-2</v>
      </c>
      <c r="N35" s="1256" t="s">
        <v>58</v>
      </c>
      <c r="O35" s="1317">
        <f t="shared" si="16"/>
        <v>9275.8545000000013</v>
      </c>
      <c r="P35" s="1256" t="s">
        <v>58</v>
      </c>
      <c r="Q35" s="1321">
        <f t="shared" si="17"/>
        <v>6.1406156790000015</v>
      </c>
      <c r="R35" s="1333" t="s">
        <v>58</v>
      </c>
      <c r="S35" s="1322">
        <f t="shared" si="18"/>
        <v>6.1406156790000016E-6</v>
      </c>
      <c r="T35" s="1333" t="s">
        <v>58</v>
      </c>
      <c r="U35" s="1322">
        <f t="shared" si="19"/>
        <v>4.6891974276000014E-5</v>
      </c>
      <c r="V35" s="1333" t="s">
        <v>58</v>
      </c>
      <c r="W35" s="1322">
        <f t="shared" si="20"/>
        <v>1.7193723901200007E-4</v>
      </c>
    </row>
    <row r="36" spans="2:23" ht="11.25" customHeight="1">
      <c r="B36" s="4" t="s">
        <v>1239</v>
      </c>
      <c r="C36" s="1315">
        <v>37</v>
      </c>
      <c r="D36" s="1256" t="s">
        <v>57</v>
      </c>
      <c r="E36" s="1316">
        <v>118</v>
      </c>
      <c r="F36" s="1256" t="s">
        <v>57</v>
      </c>
      <c r="G36" s="1280">
        <v>6.41</v>
      </c>
      <c r="H36" s="1256" t="s">
        <v>58</v>
      </c>
      <c r="I36" s="1317">
        <f t="shared" si="15"/>
        <v>10214911.9</v>
      </c>
      <c r="J36" s="1256" t="s">
        <v>57</v>
      </c>
      <c r="K36" s="1334">
        <v>0.17</v>
      </c>
      <c r="L36" s="1256" t="s">
        <v>57</v>
      </c>
      <c r="M36" s="1320">
        <v>1.0999999999999999E-2</v>
      </c>
      <c r="N36" s="1256" t="s">
        <v>58</v>
      </c>
      <c r="O36" s="1317">
        <f t="shared" si="16"/>
        <v>19101.885253</v>
      </c>
      <c r="P36" s="1256" t="s">
        <v>58</v>
      </c>
      <c r="Q36" s="1321">
        <f t="shared" si="17"/>
        <v>12.645448037486002</v>
      </c>
      <c r="R36" s="1333" t="s">
        <v>58</v>
      </c>
      <c r="S36" s="1322">
        <f t="shared" si="18"/>
        <v>1.2645448037486003E-5</v>
      </c>
      <c r="T36" s="1333" t="s">
        <v>58</v>
      </c>
      <c r="U36" s="1322">
        <f t="shared" si="19"/>
        <v>9.6565239558984027E-5</v>
      </c>
      <c r="V36" s="1333" t="s">
        <v>58</v>
      </c>
      <c r="W36" s="1322">
        <f t="shared" si="20"/>
        <v>3.5407254504960813E-4</v>
      </c>
    </row>
    <row r="37" spans="2:23" ht="11.25" customHeight="1">
      <c r="B37" s="4" t="s">
        <v>1216</v>
      </c>
      <c r="C37" s="1335">
        <v>49</v>
      </c>
      <c r="D37" s="1256" t="s">
        <v>57</v>
      </c>
      <c r="E37" s="1316">
        <v>533</v>
      </c>
      <c r="F37" s="1256" t="s">
        <v>57</v>
      </c>
      <c r="G37" s="1280">
        <v>6.9170914509065149</v>
      </c>
      <c r="H37" s="1256" t="s">
        <v>58</v>
      </c>
      <c r="I37" s="1317">
        <f t="shared" si="15"/>
        <v>65938592.259513788</v>
      </c>
      <c r="J37" s="1256" t="s">
        <v>57</v>
      </c>
      <c r="K37" s="1334">
        <v>0.17</v>
      </c>
      <c r="L37" s="1256" t="s">
        <v>57</v>
      </c>
      <c r="M37" s="1320">
        <v>1.0999999999999999E-2</v>
      </c>
      <c r="N37" s="1256" t="s">
        <v>58</v>
      </c>
      <c r="O37" s="1317">
        <f t="shared" si="16"/>
        <v>123305.16752529079</v>
      </c>
      <c r="P37" s="1256" t="s">
        <v>58</v>
      </c>
      <c r="Q37" s="1321">
        <f t="shared" si="17"/>
        <v>81.628020901742502</v>
      </c>
      <c r="R37" s="1333" t="s">
        <v>58</v>
      </c>
      <c r="S37" s="1322">
        <f t="shared" si="18"/>
        <v>8.1628020901742507E-5</v>
      </c>
      <c r="T37" s="1333" t="s">
        <v>58</v>
      </c>
      <c r="U37" s="1322">
        <f t="shared" si="19"/>
        <v>6.2334125052239734E-4</v>
      </c>
      <c r="V37" s="1333" t="s">
        <v>58</v>
      </c>
      <c r="W37" s="1322">
        <f t="shared" si="20"/>
        <v>2.2855845852487902E-3</v>
      </c>
    </row>
    <row r="38" spans="2:23" ht="11.25" customHeight="1">
      <c r="B38" s="4" t="s">
        <v>1217</v>
      </c>
      <c r="C38" s="1335">
        <v>13</v>
      </c>
      <c r="D38" s="1256" t="s">
        <v>57</v>
      </c>
      <c r="E38" s="1316">
        <v>420</v>
      </c>
      <c r="F38" s="1256" t="s">
        <v>57</v>
      </c>
      <c r="G38" s="1280">
        <v>7.48802808883105</v>
      </c>
      <c r="H38" s="1256" t="s">
        <v>58</v>
      </c>
      <c r="I38" s="1317">
        <f t="shared" si="15"/>
        <v>14922891.178231398</v>
      </c>
      <c r="J38" s="1256" t="s">
        <v>57</v>
      </c>
      <c r="K38" s="1334">
        <v>0.17</v>
      </c>
      <c r="L38" s="1256" t="s">
        <v>57</v>
      </c>
      <c r="M38" s="1320">
        <v>1.0999999999999999E-2</v>
      </c>
      <c r="N38" s="1256" t="s">
        <v>58</v>
      </c>
      <c r="O38" s="1317">
        <f t="shared" si="16"/>
        <v>27905.806503292715</v>
      </c>
      <c r="P38" s="1256" t="s">
        <v>58</v>
      </c>
      <c r="Q38" s="1321">
        <f t="shared" si="17"/>
        <v>18.473643905179777</v>
      </c>
      <c r="R38" s="1333" t="s">
        <v>58</v>
      </c>
      <c r="S38" s="1322">
        <f t="shared" si="18"/>
        <v>1.8473643905179777E-5</v>
      </c>
      <c r="T38" s="1333" t="s">
        <v>58</v>
      </c>
      <c r="U38" s="1322">
        <f t="shared" si="19"/>
        <v>1.4107146254864556E-4</v>
      </c>
      <c r="V38" s="1333" t="s">
        <v>58</v>
      </c>
      <c r="W38" s="1322">
        <f t="shared" si="20"/>
        <v>5.1726202934503378E-4</v>
      </c>
    </row>
    <row r="39" spans="2:23" ht="11.25" customHeight="1">
      <c r="B39" s="4" t="s">
        <v>1219</v>
      </c>
      <c r="C39" s="1336">
        <v>18</v>
      </c>
      <c r="D39" s="1256" t="s">
        <v>57</v>
      </c>
      <c r="E39" s="1316">
        <v>318</v>
      </c>
      <c r="F39" s="1256" t="s">
        <v>57</v>
      </c>
      <c r="G39" s="1280">
        <v>7.9391090838300862</v>
      </c>
      <c r="H39" s="1256" t="s">
        <v>58</v>
      </c>
      <c r="I39" s="1317">
        <f t="shared" si="15"/>
        <v>16586863.044482848</v>
      </c>
      <c r="J39" s="1256" t="s">
        <v>57</v>
      </c>
      <c r="K39" s="1334">
        <v>0.17</v>
      </c>
      <c r="L39" s="1256" t="s">
        <v>57</v>
      </c>
      <c r="M39" s="1320">
        <v>1.0999999999999999E-2</v>
      </c>
      <c r="N39" s="1256" t="s">
        <v>58</v>
      </c>
      <c r="O39" s="1317">
        <f t="shared" si="16"/>
        <v>31017.433893182922</v>
      </c>
      <c r="P39" s="1333" t="s">
        <v>58</v>
      </c>
      <c r="Q39" s="1321">
        <f t="shared" si="17"/>
        <v>20.533541237287096</v>
      </c>
      <c r="R39" s="1333" t="s">
        <v>58</v>
      </c>
      <c r="S39" s="1322">
        <f t="shared" si="18"/>
        <v>2.0533541237287096E-5</v>
      </c>
      <c r="T39" s="1333" t="s">
        <v>58</v>
      </c>
      <c r="U39" s="1322">
        <f t="shared" si="19"/>
        <v>1.5680158763019237E-4</v>
      </c>
      <c r="V39" s="1333" t="s">
        <v>58</v>
      </c>
      <c r="W39" s="1322">
        <f t="shared" si="20"/>
        <v>5.7493915464403868E-4</v>
      </c>
    </row>
    <row r="40" spans="2:23" ht="11.25" customHeight="1">
      <c r="B40" s="4" t="s">
        <v>1218</v>
      </c>
      <c r="C40" s="1335">
        <v>10</v>
      </c>
      <c r="D40" s="1256" t="s">
        <v>57</v>
      </c>
      <c r="E40" s="1316">
        <v>420</v>
      </c>
      <c r="F40" s="1256" t="s">
        <v>57</v>
      </c>
      <c r="G40" s="1280">
        <v>8.3348602459430108</v>
      </c>
      <c r="H40" s="1256" t="s">
        <v>58</v>
      </c>
      <c r="I40" s="1317">
        <f t="shared" si="15"/>
        <v>12777340.757030636</v>
      </c>
      <c r="J40" s="1256" t="s">
        <v>57</v>
      </c>
      <c r="K40" s="1318">
        <v>0.17</v>
      </c>
      <c r="L40" s="1256" t="s">
        <v>57</v>
      </c>
      <c r="M40" s="1320">
        <v>1.0999999999999999E-2</v>
      </c>
      <c r="N40" s="1256" t="s">
        <v>58</v>
      </c>
      <c r="O40" s="1317">
        <f t="shared" si="16"/>
        <v>23893.627215647291</v>
      </c>
      <c r="P40" s="1256" t="s">
        <v>58</v>
      </c>
      <c r="Q40" s="1321">
        <f t="shared" si="17"/>
        <v>15.817581216758509</v>
      </c>
      <c r="R40" s="1333" t="s">
        <v>58</v>
      </c>
      <c r="S40" s="1322">
        <f t="shared" si="18"/>
        <v>1.581758121675851E-5</v>
      </c>
      <c r="T40" s="1333" t="s">
        <v>58</v>
      </c>
      <c r="U40" s="1322">
        <f t="shared" si="19"/>
        <v>1.2078880201888317E-4</v>
      </c>
      <c r="V40" s="1333" t="s">
        <v>58</v>
      </c>
      <c r="W40" s="1322">
        <f t="shared" si="20"/>
        <v>4.4289227406923835E-4</v>
      </c>
    </row>
    <row r="41" spans="2:23" ht="11.25" customHeight="1">
      <c r="B41" s="1310" t="s">
        <v>1225</v>
      </c>
      <c r="C41" s="1324"/>
      <c r="D41" s="1256"/>
      <c r="E41" s="1325"/>
      <c r="F41" s="1256"/>
      <c r="G41" s="1326"/>
      <c r="H41" s="1256"/>
      <c r="I41" s="1327"/>
      <c r="J41" s="1256"/>
      <c r="K41" s="1328"/>
      <c r="L41" s="1256"/>
      <c r="M41" s="1256"/>
      <c r="N41" s="1256"/>
      <c r="O41" s="1329"/>
      <c r="P41" s="1256"/>
      <c r="Q41" s="697"/>
      <c r="R41" s="1333"/>
      <c r="S41" s="1330"/>
      <c r="T41" s="1333"/>
      <c r="U41" s="1330"/>
      <c r="V41" s="1333"/>
      <c r="W41" s="1330"/>
    </row>
    <row r="42" spans="2:23" ht="11.25" customHeight="1">
      <c r="B42" s="4" t="s">
        <v>1240</v>
      </c>
      <c r="C42" s="1331">
        <v>6</v>
      </c>
      <c r="D42" s="1256" t="s">
        <v>57</v>
      </c>
      <c r="E42" s="1316">
        <v>198</v>
      </c>
      <c r="F42" s="1256" t="s">
        <v>57</v>
      </c>
      <c r="G42" s="1280">
        <v>2.6</v>
      </c>
      <c r="H42" s="1256" t="s">
        <v>58</v>
      </c>
      <c r="I42" s="1317">
        <f t="shared" ref="I42:I46" si="21">C42*E42*G42*365</f>
        <v>1127412</v>
      </c>
      <c r="J42" s="1256" t="s">
        <v>57</v>
      </c>
      <c r="K42" s="1332">
        <v>0.48</v>
      </c>
      <c r="L42" s="1256" t="s">
        <v>57</v>
      </c>
      <c r="M42" s="1320">
        <v>0.29615215683717488</v>
      </c>
      <c r="N42" s="1256" t="s">
        <v>58</v>
      </c>
      <c r="O42" s="1317">
        <f t="shared" ref="O42:O46" si="22">(I42*K42)*M42</f>
        <v>160265.03781317425</v>
      </c>
      <c r="P42" s="1256" t="s">
        <v>58</v>
      </c>
      <c r="Q42" s="1321">
        <f t="shared" ref="Q42:Q46" si="23">O42*0.000662</f>
        <v>106.09545503232135</v>
      </c>
      <c r="R42" s="1256" t="s">
        <v>58</v>
      </c>
      <c r="S42" s="1322">
        <f t="shared" ref="S42:S46" si="24">Q42/1000000</f>
        <v>1.0609545503232136E-4</v>
      </c>
      <c r="T42" s="1256" t="s">
        <v>58</v>
      </c>
      <c r="U42" s="1322">
        <f>(S42*$Z$7)*12/44</f>
        <v>8.1018347479227225E-4</v>
      </c>
      <c r="V42" s="1256" t="s">
        <v>58</v>
      </c>
      <c r="W42" s="1322">
        <f t="shared" ref="W42:W46" si="25">U42/(12/44)</f>
        <v>2.9706727409049985E-3</v>
      </c>
    </row>
    <row r="43" spans="2:23" ht="11.25" customHeight="1">
      <c r="B43" s="4" t="s">
        <v>1241</v>
      </c>
      <c r="C43" s="1315">
        <v>10</v>
      </c>
      <c r="D43" s="1256" t="s">
        <v>57</v>
      </c>
      <c r="E43" s="1316">
        <v>15.88</v>
      </c>
      <c r="F43" s="1256" t="s">
        <v>57</v>
      </c>
      <c r="G43" s="1280">
        <v>8.8000000000000007</v>
      </c>
      <c r="H43" s="1256" t="s">
        <v>58</v>
      </c>
      <c r="I43" s="1317">
        <f t="shared" si="21"/>
        <v>510065.60000000009</v>
      </c>
      <c r="J43" s="1256" t="s">
        <v>57</v>
      </c>
      <c r="K43" s="1318">
        <v>0.48</v>
      </c>
      <c r="L43" s="1256" t="s">
        <v>57</v>
      </c>
      <c r="M43" s="1320">
        <v>0.29664167888686049</v>
      </c>
      <c r="N43" s="1256" t="s">
        <v>58</v>
      </c>
      <c r="O43" s="1317">
        <f t="shared" si="22"/>
        <v>72627.223644688245</v>
      </c>
      <c r="P43" s="1256" t="s">
        <v>58</v>
      </c>
      <c r="Q43" s="1321">
        <f t="shared" si="23"/>
        <v>48.079222052783621</v>
      </c>
      <c r="R43" s="1256" t="s">
        <v>58</v>
      </c>
      <c r="S43" s="1322">
        <f t="shared" si="24"/>
        <v>4.8079222052783623E-5</v>
      </c>
      <c r="T43" s="1256" t="s">
        <v>58</v>
      </c>
      <c r="U43" s="1322">
        <f>(S43*$Z$7)*12/44</f>
        <v>3.6715042294852945E-4</v>
      </c>
      <c r="V43" s="1256" t="s">
        <v>58</v>
      </c>
      <c r="W43" s="1322">
        <f t="shared" si="25"/>
        <v>1.3462182174779414E-3</v>
      </c>
    </row>
    <row r="44" spans="2:23" ht="11.25" customHeight="1">
      <c r="B44" s="4" t="s">
        <v>1242</v>
      </c>
      <c r="C44" s="1315">
        <v>6</v>
      </c>
      <c r="D44" s="1256" t="s">
        <v>57</v>
      </c>
      <c r="E44" s="1316">
        <v>40.6</v>
      </c>
      <c r="F44" s="1256" t="s">
        <v>57</v>
      </c>
      <c r="G44" s="1280">
        <v>5.4</v>
      </c>
      <c r="H44" s="1256" t="s">
        <v>58</v>
      </c>
      <c r="I44" s="1317">
        <f t="shared" si="21"/>
        <v>480135.60000000009</v>
      </c>
      <c r="J44" s="1256" t="s">
        <v>57</v>
      </c>
      <c r="K44" s="1318">
        <v>0.48</v>
      </c>
      <c r="L44" s="1256" t="s">
        <v>57</v>
      </c>
      <c r="M44" s="1320">
        <v>0.29664167888686049</v>
      </c>
      <c r="N44" s="1256" t="s">
        <v>58</v>
      </c>
      <c r="O44" s="1317">
        <f t="shared" si="22"/>
        <v>68365.550629128062</v>
      </c>
      <c r="P44" s="1256" t="s">
        <v>58</v>
      </c>
      <c r="Q44" s="1321">
        <f t="shared" si="23"/>
        <v>45.257994516482782</v>
      </c>
      <c r="R44" s="1256" t="s">
        <v>58</v>
      </c>
      <c r="S44" s="1322">
        <f t="shared" si="24"/>
        <v>4.5257994516482781E-5</v>
      </c>
      <c r="T44" s="1256" t="s">
        <v>58</v>
      </c>
      <c r="U44" s="1322">
        <f>(S44*$Z$7)*12/44</f>
        <v>3.4560650358041401E-4</v>
      </c>
      <c r="V44" s="1256" t="s">
        <v>58</v>
      </c>
      <c r="W44" s="1322">
        <f t="shared" si="25"/>
        <v>1.2672238464615181E-3</v>
      </c>
    </row>
    <row r="45" spans="2:23" ht="11.25" customHeight="1">
      <c r="B45" s="4" t="s">
        <v>1243</v>
      </c>
      <c r="C45" s="1315">
        <v>7</v>
      </c>
      <c r="D45" s="1256" t="s">
        <v>57</v>
      </c>
      <c r="E45" s="1316">
        <v>67.819999999999993</v>
      </c>
      <c r="F45" s="1256" t="s">
        <v>57</v>
      </c>
      <c r="G45" s="1280">
        <v>5.4</v>
      </c>
      <c r="H45" s="1256" t="s">
        <v>58</v>
      </c>
      <c r="I45" s="1317">
        <f t="shared" si="21"/>
        <v>935712.54</v>
      </c>
      <c r="J45" s="1256" t="s">
        <v>57</v>
      </c>
      <c r="K45" s="1318">
        <v>0.48</v>
      </c>
      <c r="L45" s="1256" t="s">
        <v>57</v>
      </c>
      <c r="M45" s="1320">
        <v>0.29664167888686049</v>
      </c>
      <c r="N45" s="1256" t="s">
        <v>58</v>
      </c>
      <c r="O45" s="1317">
        <f t="shared" si="22"/>
        <v>133234.24263412252</v>
      </c>
      <c r="P45" s="1256" t="s">
        <v>58</v>
      </c>
      <c r="Q45" s="1321">
        <f t="shared" si="23"/>
        <v>88.201068623789112</v>
      </c>
      <c r="R45" s="1256" t="s">
        <v>58</v>
      </c>
      <c r="S45" s="1322">
        <f t="shared" si="24"/>
        <v>8.820106862378911E-5</v>
      </c>
      <c r="T45" s="1256" t="s">
        <v>58</v>
      </c>
      <c r="U45" s="1322">
        <f>(S45*$Z$7)*12/44</f>
        <v>6.7353543312711681E-4</v>
      </c>
      <c r="V45" s="1256" t="s">
        <v>58</v>
      </c>
      <c r="W45" s="1322">
        <f t="shared" si="25"/>
        <v>2.4696299214660954E-3</v>
      </c>
    </row>
    <row r="46" spans="2:23" ht="11.25" customHeight="1">
      <c r="B46" s="4" t="s">
        <v>1244</v>
      </c>
      <c r="C46" s="1315">
        <v>4</v>
      </c>
      <c r="D46" s="1256" t="s">
        <v>57</v>
      </c>
      <c r="E46" s="1316">
        <v>90.75</v>
      </c>
      <c r="F46" s="1256" t="s">
        <v>57</v>
      </c>
      <c r="G46" s="1280">
        <v>5.4</v>
      </c>
      <c r="H46" s="1256" t="s">
        <v>58</v>
      </c>
      <c r="I46" s="1317">
        <f t="shared" si="21"/>
        <v>715473</v>
      </c>
      <c r="J46" s="1256" t="s">
        <v>57</v>
      </c>
      <c r="K46" s="1318">
        <v>0.48</v>
      </c>
      <c r="L46" s="1256" t="s">
        <v>57</v>
      </c>
      <c r="M46" s="1320">
        <v>0.29664167888686049</v>
      </c>
      <c r="N46" s="1256" t="s">
        <v>58</v>
      </c>
      <c r="O46" s="1317">
        <f t="shared" si="22"/>
        <v>101874.77372074498</v>
      </c>
      <c r="P46" s="1256" t="s">
        <v>58</v>
      </c>
      <c r="Q46" s="1321">
        <f t="shared" si="23"/>
        <v>67.441100203133189</v>
      </c>
      <c r="R46" s="1256" t="s">
        <v>58</v>
      </c>
      <c r="S46" s="1322">
        <f t="shared" si="24"/>
        <v>6.7441100203133192E-5</v>
      </c>
      <c r="T46" s="1256" t="s">
        <v>58</v>
      </c>
      <c r="U46" s="1322">
        <f>(S46*$Z$7)*12/44</f>
        <v>5.1500476518756251E-4</v>
      </c>
      <c r="V46" s="1256" t="s">
        <v>58</v>
      </c>
      <c r="W46" s="1322">
        <f t="shared" si="25"/>
        <v>1.8883508056877294E-3</v>
      </c>
    </row>
    <row r="47" spans="2:23" ht="11.25" customHeight="1">
      <c r="B47" s="1310" t="s">
        <v>1201</v>
      </c>
      <c r="C47" s="1337"/>
      <c r="D47" s="1256"/>
      <c r="E47" s="1325"/>
      <c r="F47" s="1256"/>
      <c r="G47" s="1256"/>
      <c r="H47" s="1256"/>
      <c r="I47" s="1338"/>
      <c r="J47" s="1256"/>
      <c r="K47" s="1339"/>
      <c r="L47" s="1256"/>
      <c r="M47" s="1340"/>
      <c r="N47" s="1256"/>
      <c r="O47" s="1329"/>
      <c r="P47" s="1256"/>
      <c r="Q47" s="697"/>
      <c r="R47" s="1256"/>
      <c r="S47" s="1330"/>
      <c r="T47" s="1256"/>
      <c r="U47" s="1330"/>
      <c r="V47" s="1256"/>
      <c r="W47" s="1330"/>
    </row>
    <row r="48" spans="2:23" ht="11.25" customHeight="1">
      <c r="B48" s="4" t="s">
        <v>1245</v>
      </c>
      <c r="C48" s="1341"/>
      <c r="D48" s="1342"/>
      <c r="E48" s="1341"/>
      <c r="F48" s="1342"/>
      <c r="G48" s="1343"/>
      <c r="H48" s="1342"/>
      <c r="I48" s="1344"/>
      <c r="J48" s="1342"/>
      <c r="K48" s="1345"/>
      <c r="L48" s="1342"/>
      <c r="M48" s="1346"/>
      <c r="N48" s="1342"/>
      <c r="O48" s="1344"/>
      <c r="P48" s="1342"/>
      <c r="Q48" s="1347"/>
      <c r="R48" s="1342"/>
      <c r="S48" s="1348"/>
      <c r="T48" s="1342"/>
      <c r="U48" s="1348"/>
      <c r="V48" s="1342"/>
      <c r="W48" s="1348"/>
    </row>
    <row r="49" spans="2:23" ht="11.25" customHeight="1">
      <c r="B49" s="4" t="s">
        <v>1246</v>
      </c>
      <c r="C49" s="1331">
        <v>2560</v>
      </c>
      <c r="D49" s="1256" t="s">
        <v>57</v>
      </c>
      <c r="E49" s="1316">
        <v>1.8</v>
      </c>
      <c r="F49" s="1256" t="s">
        <v>57</v>
      </c>
      <c r="G49" s="55">
        <v>10.8</v>
      </c>
      <c r="H49" s="1256" t="s">
        <v>58</v>
      </c>
      <c r="I49" s="1317">
        <f t="shared" ref="I49:I53" si="26">C49*E49*G49*365</f>
        <v>18164736</v>
      </c>
      <c r="J49" s="1256" t="s">
        <v>57</v>
      </c>
      <c r="K49" s="1332">
        <v>0.39</v>
      </c>
      <c r="L49" s="1256" t="s">
        <v>57</v>
      </c>
      <c r="M49" s="1320">
        <v>5.0976002349833779E-2</v>
      </c>
      <c r="N49" s="1256" t="s">
        <v>58</v>
      </c>
      <c r="O49" s="1317">
        <f t="shared" ref="O49:O53" si="27">(I49*K49)*M49</f>
        <v>361126.59375784302</v>
      </c>
      <c r="P49" s="1256" t="s">
        <v>58</v>
      </c>
      <c r="Q49" s="1321">
        <f t="shared" ref="Q49:Q53" si="28">O49*0.000662</f>
        <v>239.06580506769208</v>
      </c>
      <c r="R49" s="1256" t="s">
        <v>58</v>
      </c>
      <c r="S49" s="1322">
        <f t="shared" ref="S49:S53" si="29">Q49/1000000</f>
        <v>2.3906580506769209E-4</v>
      </c>
      <c r="T49" s="1256" t="s">
        <v>58</v>
      </c>
      <c r="U49" s="1322">
        <f>(S49*$Z$7)*12/44</f>
        <v>1.8255934205169216E-3</v>
      </c>
      <c r="V49" s="1256" t="s">
        <v>58</v>
      </c>
      <c r="W49" s="1322">
        <f t="shared" ref="W49:W53" si="30">U49/(12/44)</f>
        <v>6.6938425418953795E-3</v>
      </c>
    </row>
    <row r="50" spans="2:23" ht="11.25" customHeight="1">
      <c r="B50" s="4" t="s">
        <v>1247</v>
      </c>
      <c r="C50" s="1331">
        <v>938</v>
      </c>
      <c r="D50" s="1256" t="s">
        <v>57</v>
      </c>
      <c r="E50" s="1316">
        <v>1.8</v>
      </c>
      <c r="F50" s="1256" t="s">
        <v>57</v>
      </c>
      <c r="G50" s="55">
        <v>9.6999999999999993</v>
      </c>
      <c r="H50" s="1256" t="s">
        <v>58</v>
      </c>
      <c r="I50" s="1317">
        <f t="shared" si="26"/>
        <v>5977780.2000000002</v>
      </c>
      <c r="J50" s="1256" t="s">
        <v>57</v>
      </c>
      <c r="K50" s="1332">
        <v>0.39</v>
      </c>
      <c r="L50" s="1256" t="s">
        <v>57</v>
      </c>
      <c r="M50" s="1320">
        <v>5.0976002349833779E-2</v>
      </c>
      <c r="N50" s="1256" t="s">
        <v>58</v>
      </c>
      <c r="O50" s="1317">
        <f t="shared" si="27"/>
        <v>118842.10163357604</v>
      </c>
      <c r="P50" s="1256" t="s">
        <v>58</v>
      </c>
      <c r="Q50" s="1321">
        <f t="shared" si="28"/>
        <v>78.673471281427339</v>
      </c>
      <c r="R50" s="1256" t="s">
        <v>58</v>
      </c>
      <c r="S50" s="1322">
        <f t="shared" si="29"/>
        <v>7.8673471281427346E-5</v>
      </c>
      <c r="T50" s="1256" t="s">
        <v>58</v>
      </c>
      <c r="U50" s="1322">
        <f>(S50*$Z$7)*12/44</f>
        <v>6.0077923523999064E-4</v>
      </c>
      <c r="V50" s="1256" t="s">
        <v>58</v>
      </c>
      <c r="W50" s="1322">
        <f t="shared" si="30"/>
        <v>2.2028571958799658E-3</v>
      </c>
    </row>
    <row r="51" spans="2:23" ht="11.25" customHeight="1">
      <c r="B51" s="4" t="s">
        <v>1248</v>
      </c>
      <c r="C51" s="1331">
        <v>16</v>
      </c>
      <c r="D51" s="1256" t="s">
        <v>57</v>
      </c>
      <c r="E51" s="1316">
        <v>1.8</v>
      </c>
      <c r="F51" s="1256" t="s">
        <v>57</v>
      </c>
      <c r="G51" s="1280">
        <v>10.8</v>
      </c>
      <c r="H51" s="1256" t="s">
        <v>58</v>
      </c>
      <c r="I51" s="1317">
        <f t="shared" si="26"/>
        <v>113529.60000000001</v>
      </c>
      <c r="J51" s="1256" t="s">
        <v>57</v>
      </c>
      <c r="K51" s="1332">
        <v>0.39</v>
      </c>
      <c r="L51" s="1256" t="s">
        <v>57</v>
      </c>
      <c r="M51" s="1320">
        <v>5.0976002349833779E-2</v>
      </c>
      <c r="N51" s="1256" t="s">
        <v>58</v>
      </c>
      <c r="O51" s="1317">
        <f t="shared" si="27"/>
        <v>2257.0412109865188</v>
      </c>
      <c r="P51" s="1256" t="s">
        <v>58</v>
      </c>
      <c r="Q51" s="1321">
        <f t="shared" si="28"/>
        <v>1.4941612816730756</v>
      </c>
      <c r="R51" s="1256" t="s">
        <v>58</v>
      </c>
      <c r="S51" s="1322">
        <f t="shared" si="29"/>
        <v>1.4941612816730755E-6</v>
      </c>
      <c r="T51" s="1256" t="s">
        <v>58</v>
      </c>
      <c r="U51" s="1322">
        <f>(S51*$Z$7)*12/44</f>
        <v>1.1409958878230761E-5</v>
      </c>
      <c r="V51" s="1256" t="s">
        <v>58</v>
      </c>
      <c r="W51" s="1322">
        <f t="shared" si="30"/>
        <v>4.1836515886846124E-5</v>
      </c>
    </row>
    <row r="52" spans="2:23" ht="11.25" customHeight="1">
      <c r="B52" s="4" t="s">
        <v>1249</v>
      </c>
      <c r="C52" s="1331">
        <v>54090.909</v>
      </c>
      <c r="D52" s="754" t="s">
        <v>57</v>
      </c>
      <c r="E52" s="1316">
        <v>0.9</v>
      </c>
      <c r="F52" s="754" t="s">
        <v>57</v>
      </c>
      <c r="G52" s="55">
        <v>15</v>
      </c>
      <c r="H52" s="754" t="s">
        <v>58</v>
      </c>
      <c r="I52" s="1317">
        <f t="shared" si="26"/>
        <v>266532954.09750003</v>
      </c>
      <c r="J52" s="754" t="s">
        <v>57</v>
      </c>
      <c r="K52" s="1334">
        <v>0.36</v>
      </c>
      <c r="L52" s="754" t="s">
        <v>57</v>
      </c>
      <c r="M52" s="1349">
        <v>1.4999999999999999E-2</v>
      </c>
      <c r="N52" s="754" t="s">
        <v>58</v>
      </c>
      <c r="O52" s="1317">
        <f t="shared" si="27"/>
        <v>1439277.9521265002</v>
      </c>
      <c r="P52" s="1256" t="s">
        <v>58</v>
      </c>
      <c r="Q52" s="1321">
        <f t="shared" si="28"/>
        <v>952.80200430774323</v>
      </c>
      <c r="R52" s="1256" t="s">
        <v>58</v>
      </c>
      <c r="S52" s="1322">
        <f t="shared" si="29"/>
        <v>9.5280200430774328E-4</v>
      </c>
      <c r="T52" s="1256" t="s">
        <v>58</v>
      </c>
      <c r="U52" s="1322">
        <f>(S52*$Z$7)*12/44</f>
        <v>7.2759425783500394E-3</v>
      </c>
      <c r="V52" s="1256" t="s">
        <v>58</v>
      </c>
      <c r="W52" s="1322">
        <f t="shared" si="30"/>
        <v>2.6678456120616811E-2</v>
      </c>
    </row>
    <row r="53" spans="2:23" ht="11.25" customHeight="1">
      <c r="B53" s="4" t="s">
        <v>1250</v>
      </c>
      <c r="C53" s="1336">
        <v>243.333</v>
      </c>
      <c r="D53" s="754" t="s">
        <v>57</v>
      </c>
      <c r="E53" s="1316">
        <v>6.8</v>
      </c>
      <c r="F53" s="754" t="s">
        <v>57</v>
      </c>
      <c r="G53" s="55">
        <v>9.6999999999999993</v>
      </c>
      <c r="H53" s="754" t="s">
        <v>58</v>
      </c>
      <c r="I53" s="1317">
        <f t="shared" si="26"/>
        <v>5858339.3081999989</v>
      </c>
      <c r="J53" s="754" t="s">
        <v>57</v>
      </c>
      <c r="K53" s="1318">
        <v>0.36</v>
      </c>
      <c r="L53" s="754" t="s">
        <v>57</v>
      </c>
      <c r="M53" s="1349">
        <v>1.4999999999999999E-2</v>
      </c>
      <c r="N53" s="754" t="s">
        <v>58</v>
      </c>
      <c r="O53" s="1317">
        <f t="shared" si="27"/>
        <v>31635.032264279995</v>
      </c>
      <c r="P53" s="1256" t="s">
        <v>58</v>
      </c>
      <c r="Q53" s="1321">
        <f t="shared" si="28"/>
        <v>20.942391358953358</v>
      </c>
      <c r="R53" s="1256" t="s">
        <v>58</v>
      </c>
      <c r="S53" s="1322">
        <f t="shared" si="29"/>
        <v>2.0942391358953359E-5</v>
      </c>
      <c r="T53" s="1256" t="s">
        <v>58</v>
      </c>
      <c r="U53" s="1322">
        <f>(S53*$Z$7)*12/44</f>
        <v>1.5992371583200746E-4</v>
      </c>
      <c r="V53" s="1256" t="s">
        <v>58</v>
      </c>
      <c r="W53" s="1322">
        <f t="shared" si="30"/>
        <v>5.8638695805069405E-4</v>
      </c>
    </row>
    <row r="54" spans="2:23" ht="11.25" customHeight="1">
      <c r="B54" s="1310" t="s">
        <v>592</v>
      </c>
      <c r="C54" s="1324"/>
      <c r="D54" s="754"/>
      <c r="E54" s="1325"/>
      <c r="F54" s="754"/>
      <c r="G54" s="1256"/>
      <c r="H54" s="754"/>
      <c r="I54" s="1327"/>
      <c r="J54" s="1256"/>
      <c r="K54" s="1328"/>
      <c r="L54" s="1256"/>
      <c r="M54" s="1340"/>
      <c r="N54" s="1256"/>
      <c r="O54" s="1329"/>
      <c r="P54" s="1256"/>
      <c r="Q54" s="697"/>
      <c r="R54" s="1256"/>
      <c r="S54" s="1330"/>
      <c r="T54" s="1256"/>
      <c r="U54" s="1330"/>
      <c r="V54" s="1256"/>
      <c r="W54" s="1330"/>
    </row>
    <row r="55" spans="2:23" ht="11.25" customHeight="1">
      <c r="B55" s="1278" t="s">
        <v>1251</v>
      </c>
      <c r="C55" s="1331">
        <v>0</v>
      </c>
      <c r="D55" s="754" t="s">
        <v>57</v>
      </c>
      <c r="E55" s="1316">
        <v>27</v>
      </c>
      <c r="F55" s="754" t="s">
        <v>57</v>
      </c>
      <c r="G55" s="1280">
        <v>9.205479452054794</v>
      </c>
      <c r="H55" s="754" t="s">
        <v>58</v>
      </c>
      <c r="I55" s="1317">
        <f t="shared" ref="I55:I58" si="31">C55*E55*G55*365</f>
        <v>0</v>
      </c>
      <c r="J55" s="754" t="s">
        <v>57</v>
      </c>
      <c r="K55" s="1332">
        <v>0.36056372132540354</v>
      </c>
      <c r="L55" s="754" t="s">
        <v>57</v>
      </c>
      <c r="M55" s="1349">
        <v>1.2E-2</v>
      </c>
      <c r="N55" s="754" t="s">
        <v>58</v>
      </c>
      <c r="O55" s="1317">
        <f t="shared" ref="O55:O58" si="32">(I55*K55)*M55</f>
        <v>0</v>
      </c>
      <c r="P55" s="1256" t="s">
        <v>58</v>
      </c>
      <c r="Q55" s="1321">
        <f t="shared" ref="Q55:Q58" si="33">O55*0.000662</f>
        <v>0</v>
      </c>
      <c r="R55" s="1256" t="s">
        <v>58</v>
      </c>
      <c r="S55" s="1322">
        <f t="shared" ref="S55:S58" si="34">Q55/1000000</f>
        <v>0</v>
      </c>
      <c r="T55" s="1256" t="s">
        <v>58</v>
      </c>
      <c r="U55" s="1322">
        <f>(S55*$Z$7)*12/44</f>
        <v>0</v>
      </c>
      <c r="V55" s="1256" t="s">
        <v>58</v>
      </c>
      <c r="W55" s="1322">
        <f t="shared" ref="W55:W58" si="35">U55/(12/44)</f>
        <v>0</v>
      </c>
    </row>
    <row r="56" spans="2:23" ht="11.25" customHeight="1">
      <c r="B56" s="1278" t="s">
        <v>1252</v>
      </c>
      <c r="C56" s="1331">
        <v>22</v>
      </c>
      <c r="D56" s="754" t="s">
        <v>57</v>
      </c>
      <c r="E56" s="1316">
        <v>27</v>
      </c>
      <c r="F56" s="754" t="s">
        <v>57</v>
      </c>
      <c r="G56" s="1280">
        <v>9.205479452054794</v>
      </c>
      <c r="H56" s="754" t="s">
        <v>58</v>
      </c>
      <c r="I56" s="1317">
        <f t="shared" si="31"/>
        <v>1995840</v>
      </c>
      <c r="J56" s="754" t="s">
        <v>57</v>
      </c>
      <c r="K56" s="1332">
        <v>0.1899677145284622</v>
      </c>
      <c r="L56" s="754" t="s">
        <v>57</v>
      </c>
      <c r="M56" s="1349">
        <v>1.0999999999999999E-2</v>
      </c>
      <c r="N56" s="754" t="s">
        <v>58</v>
      </c>
      <c r="O56" s="1317">
        <f t="shared" si="32"/>
        <v>4170.5967970093461</v>
      </c>
      <c r="P56" s="1256" t="s">
        <v>58</v>
      </c>
      <c r="Q56" s="1321">
        <f t="shared" si="33"/>
        <v>2.7609350796201872</v>
      </c>
      <c r="R56" s="1256" t="s">
        <v>58</v>
      </c>
      <c r="S56" s="1322">
        <f t="shared" si="34"/>
        <v>2.7609350796201873E-6</v>
      </c>
      <c r="T56" s="1256" t="s">
        <v>58</v>
      </c>
      <c r="U56" s="1322">
        <f>(S56*$Z$7)*12/44</f>
        <v>2.1083504244372339E-5</v>
      </c>
      <c r="V56" s="1256" t="s">
        <v>58</v>
      </c>
      <c r="W56" s="1322">
        <f t="shared" si="35"/>
        <v>7.7306182229365246E-5</v>
      </c>
    </row>
    <row r="57" spans="2:23" ht="11.25" customHeight="1">
      <c r="B57" s="1278" t="s">
        <v>1224</v>
      </c>
      <c r="C57" s="1335">
        <v>9.6010000000000009</v>
      </c>
      <c r="D57" s="754" t="s">
        <v>57</v>
      </c>
      <c r="E57" s="1316">
        <v>64</v>
      </c>
      <c r="F57" s="754" t="s">
        <v>57</v>
      </c>
      <c r="G57" s="1280">
        <v>9.5342465753424666</v>
      </c>
      <c r="H57" s="754" t="s">
        <v>58</v>
      </c>
      <c r="I57" s="1317">
        <f t="shared" si="31"/>
        <v>2138334.7200000007</v>
      </c>
      <c r="J57" s="754" t="s">
        <v>57</v>
      </c>
      <c r="K57" s="1334">
        <v>0.16997111299915041</v>
      </c>
      <c r="L57" s="754" t="s">
        <v>57</v>
      </c>
      <c r="M57" s="1349">
        <v>1.0999999999999999E-2</v>
      </c>
      <c r="N57" s="754" t="s">
        <v>58</v>
      </c>
      <c r="O57" s="1317">
        <f t="shared" si="32"/>
        <v>3998.0064555543945</v>
      </c>
      <c r="P57" s="1256" t="s">
        <v>58</v>
      </c>
      <c r="Q57" s="1321">
        <f t="shared" si="33"/>
        <v>2.6466802735770094</v>
      </c>
      <c r="R57" s="1256" t="s">
        <v>58</v>
      </c>
      <c r="S57" s="1322">
        <f t="shared" si="34"/>
        <v>2.6466802735770093E-6</v>
      </c>
      <c r="T57" s="1256" t="s">
        <v>58</v>
      </c>
      <c r="U57" s="1322">
        <f>(S57*$Z$7)*12/44</f>
        <v>2.0211012998224432E-5</v>
      </c>
      <c r="V57" s="1256" t="s">
        <v>58</v>
      </c>
      <c r="W57" s="1322">
        <f t="shared" si="35"/>
        <v>7.4107047660156258E-5</v>
      </c>
    </row>
    <row r="58" spans="2:23" ht="12" customHeight="1">
      <c r="B58" s="1278" t="s">
        <v>1226</v>
      </c>
      <c r="C58" s="1335">
        <v>65.510999999999996</v>
      </c>
      <c r="D58" s="754" t="s">
        <v>57</v>
      </c>
      <c r="E58" s="1316">
        <v>450</v>
      </c>
      <c r="F58" s="754" t="s">
        <v>57</v>
      </c>
      <c r="G58" s="55">
        <v>10</v>
      </c>
      <c r="H58" s="754" t="s">
        <v>58</v>
      </c>
      <c r="I58" s="1317">
        <f t="shared" si="31"/>
        <v>107601817.5</v>
      </c>
      <c r="J58" s="754" t="s">
        <v>57</v>
      </c>
      <c r="K58" s="1334">
        <v>0.33056881903143587</v>
      </c>
      <c r="L58" s="754" t="s">
        <v>57</v>
      </c>
      <c r="M58" s="1349">
        <v>1.0999999999999999E-2</v>
      </c>
      <c r="N58" s="754" t="s">
        <v>58</v>
      </c>
      <c r="O58" s="1317">
        <f t="shared" si="32"/>
        <v>391267.86310272198</v>
      </c>
      <c r="P58" s="1256" t="s">
        <v>58</v>
      </c>
      <c r="Q58" s="1321">
        <f t="shared" si="33"/>
        <v>259.01932537400199</v>
      </c>
      <c r="R58" s="1256" t="s">
        <v>58</v>
      </c>
      <c r="S58" s="1322">
        <f t="shared" si="34"/>
        <v>2.5901932537400197E-4</v>
      </c>
      <c r="T58" s="1256" t="s">
        <v>58</v>
      </c>
      <c r="U58" s="1322">
        <f>(S58*$Z$7)*12/44</f>
        <v>1.9779657574014696E-3</v>
      </c>
      <c r="V58" s="1256" t="s">
        <v>58</v>
      </c>
      <c r="W58" s="1322">
        <f t="shared" si="35"/>
        <v>7.2525411104720555E-3</v>
      </c>
    </row>
    <row r="59" spans="2:23" ht="13.5" customHeight="1">
      <c r="B59" s="895" t="s">
        <v>725</v>
      </c>
      <c r="C59" s="232"/>
      <c r="D59" s="232"/>
      <c r="E59" s="1350"/>
      <c r="F59" s="232"/>
      <c r="G59" s="232"/>
      <c r="H59" s="232"/>
      <c r="I59" s="232"/>
      <c r="J59" s="1256"/>
      <c r="K59" s="1256"/>
      <c r="L59" s="1256"/>
      <c r="M59" s="1256"/>
      <c r="N59" s="1256"/>
      <c r="O59" s="1351">
        <f>SUM(O30:O58)</f>
        <v>6574150.2268611463</v>
      </c>
      <c r="P59" s="1256"/>
      <c r="Q59" s="1352">
        <f>SUM(Q30:Q58)</f>
        <v>4352.0874501820799</v>
      </c>
      <c r="R59" s="1256"/>
      <c r="S59" s="1353">
        <f>SUM(S30:S58)</f>
        <v>4.352087450182081E-3</v>
      </c>
      <c r="T59" s="1256"/>
      <c r="U59" s="1353">
        <f>SUM(U30:U58)</f>
        <v>3.3234122346844974E-2</v>
      </c>
      <c r="V59" s="232"/>
      <c r="W59" s="1353">
        <f>SUM(W30:W58)</f>
        <v>0.12185844860509826</v>
      </c>
    </row>
    <row r="60" spans="2:23" ht="12" customHeight="1">
      <c r="B60" s="1296"/>
      <c r="C60" s="1297"/>
      <c r="D60" s="1298"/>
      <c r="E60" s="1298"/>
      <c r="F60" s="1298"/>
      <c r="G60" s="1299"/>
      <c r="H60" s="1300"/>
      <c r="I60" s="1301"/>
      <c r="J60" s="1300"/>
      <c r="K60" s="1302"/>
      <c r="L60" s="16"/>
      <c r="M60" s="1302"/>
      <c r="N60" s="16"/>
      <c r="O60" s="16"/>
      <c r="P60" s="16"/>
      <c r="Q60" s="16"/>
      <c r="R60" s="16"/>
      <c r="S60" s="16"/>
      <c r="T60" s="16"/>
      <c r="U60" s="16"/>
      <c r="V60" s="16"/>
      <c r="W60" s="16"/>
    </row>
    <row r="61" spans="2:23" ht="19.5" customHeight="1">
      <c r="B61" s="1274" t="s">
        <v>1253</v>
      </c>
      <c r="C61" s="1303"/>
      <c r="D61" s="1304"/>
      <c r="E61" s="1304"/>
      <c r="F61" s="1256"/>
      <c r="G61" s="1305"/>
      <c r="H61" s="307"/>
      <c r="I61" s="1306"/>
      <c r="J61" s="307"/>
      <c r="K61" s="1307"/>
      <c r="M61" s="1307"/>
    </row>
    <row r="62" spans="2:23" ht="81.75" customHeight="1">
      <c r="B62" s="232"/>
      <c r="C62" s="1354" t="s">
        <v>1205</v>
      </c>
      <c r="D62" s="1309"/>
      <c r="E62" s="1276" t="s">
        <v>1254</v>
      </c>
      <c r="F62" s="187"/>
      <c r="G62" s="1276" t="s">
        <v>1255</v>
      </c>
      <c r="H62" s="1276"/>
      <c r="I62" s="1276" t="s">
        <v>1256</v>
      </c>
      <c r="J62" s="187"/>
      <c r="K62" s="1276" t="s">
        <v>1257</v>
      </c>
      <c r="L62" s="190"/>
      <c r="M62" s="1276" t="s">
        <v>1258</v>
      </c>
      <c r="N62" s="187"/>
      <c r="O62" s="1276" t="s">
        <v>1259</v>
      </c>
      <c r="P62" s="187"/>
      <c r="Q62" s="1276" t="s">
        <v>54</v>
      </c>
      <c r="R62" s="187"/>
      <c r="S62" s="1276" t="s">
        <v>1149</v>
      </c>
      <c r="T62" s="187"/>
      <c r="U62" s="1276" t="s">
        <v>1260</v>
      </c>
    </row>
    <row r="63" spans="2:23" ht="15" customHeight="1">
      <c r="B63" s="1310" t="s">
        <v>1261</v>
      </c>
      <c r="C63" s="1355"/>
      <c r="D63" s="1311"/>
      <c r="E63" s="895"/>
      <c r="F63" s="232"/>
      <c r="G63" s="232"/>
      <c r="H63" s="232"/>
      <c r="I63" s="15"/>
      <c r="J63" s="232"/>
      <c r="K63" s="232"/>
      <c r="L63" s="1350"/>
      <c r="M63" s="232"/>
      <c r="N63" s="232"/>
      <c r="O63" s="232"/>
      <c r="P63" s="232"/>
      <c r="Q63" s="232"/>
      <c r="R63" s="232"/>
      <c r="S63" s="1356"/>
      <c r="T63" s="232"/>
      <c r="U63" s="1356"/>
    </row>
    <row r="64" spans="2:23" ht="12.75" customHeight="1">
      <c r="B64" s="1278" t="s">
        <v>1211</v>
      </c>
      <c r="C64" s="1357">
        <v>70</v>
      </c>
      <c r="D64" s="1256"/>
      <c r="E64" s="1317">
        <v>6790168</v>
      </c>
      <c r="F64" s="232"/>
      <c r="G64" s="1317">
        <v>1569976.8631212725</v>
      </c>
      <c r="H64" s="1287"/>
      <c r="I64" s="1317">
        <v>1758775.718417271</v>
      </c>
      <c r="J64" s="232"/>
      <c r="K64" s="1317">
        <v>1569.9768631212726</v>
      </c>
      <c r="L64" s="1256" t="s">
        <v>852</v>
      </c>
      <c r="M64" s="1317">
        <v>35175.514368345423</v>
      </c>
      <c r="N64" s="1287" t="s">
        <v>58</v>
      </c>
      <c r="O64" s="1317">
        <v>57742.914792304808</v>
      </c>
      <c r="P64" s="1287" t="s">
        <v>58</v>
      </c>
      <c r="Q64" s="1317">
        <f>O64/1000*$Z$8*12/44</f>
        <v>4173.2379327165754</v>
      </c>
      <c r="R64" s="1287" t="s">
        <v>58</v>
      </c>
      <c r="S64" s="1358">
        <f t="shared" ref="S64:S65" si="36">Q64/10^6</f>
        <v>4.1732379327165756E-3</v>
      </c>
      <c r="T64" s="1287" t="s">
        <v>58</v>
      </c>
      <c r="U64" s="1358">
        <f t="shared" ref="U64:U65" si="37">S64/(12/44)</f>
        <v>1.5301872419960779E-2</v>
      </c>
    </row>
    <row r="65" spans="2:21" ht="12.75" customHeight="1">
      <c r="B65" s="4" t="s">
        <v>1212</v>
      </c>
      <c r="C65" s="1357">
        <v>30</v>
      </c>
      <c r="D65" s="1256"/>
      <c r="E65" s="1317">
        <v>1615782</v>
      </c>
      <c r="F65" s="232"/>
      <c r="G65" s="1317">
        <v>373590.21983665443</v>
      </c>
      <c r="H65" s="1287"/>
      <c r="I65" s="1317">
        <v>792106.83796093287</v>
      </c>
      <c r="J65" s="232"/>
      <c r="K65" s="1317">
        <v>373.59021983665446</v>
      </c>
      <c r="L65" s="1256" t="s">
        <v>852</v>
      </c>
      <c r="M65" s="1317">
        <v>15842.136759218658</v>
      </c>
      <c r="N65" s="1287" t="s">
        <v>58</v>
      </c>
      <c r="O65" s="1317">
        <v>24894.786335915032</v>
      </c>
      <c r="P65" s="1287" t="s">
        <v>58</v>
      </c>
      <c r="Q65" s="1317">
        <f>O65/1000*$Z$8*12/44</f>
        <v>1799.2141033684047</v>
      </c>
      <c r="R65" s="1287" t="s">
        <v>58</v>
      </c>
      <c r="S65" s="1358">
        <f t="shared" si="36"/>
        <v>1.7992141033684047E-3</v>
      </c>
      <c r="T65" s="1287" t="s">
        <v>58</v>
      </c>
      <c r="U65" s="1358">
        <f t="shared" si="37"/>
        <v>6.597118379017484E-3</v>
      </c>
    </row>
    <row r="66" spans="2:21" ht="12.75" customHeight="1">
      <c r="B66" s="1310" t="s">
        <v>1215</v>
      </c>
      <c r="C66" s="1359"/>
      <c r="D66" s="1256"/>
      <c r="E66" s="1329"/>
      <c r="F66" s="232"/>
      <c r="G66" s="1329"/>
      <c r="H66" s="1287"/>
      <c r="I66" s="1329"/>
      <c r="J66" s="232"/>
      <c r="K66" s="1329" t="s">
        <v>1262</v>
      </c>
      <c r="L66" s="1256"/>
      <c r="M66" s="1329"/>
      <c r="N66" s="1287"/>
      <c r="O66" s="1329"/>
      <c r="P66" s="1287"/>
      <c r="Q66" s="1329"/>
      <c r="R66" s="1287"/>
      <c r="S66" s="1329"/>
      <c r="T66" s="1287"/>
      <c r="U66" s="1329"/>
    </row>
    <row r="67" spans="2:21" ht="12.75" customHeight="1">
      <c r="B67" s="4" t="s">
        <v>1220</v>
      </c>
      <c r="C67" s="1357">
        <v>3.9119999999999999</v>
      </c>
      <c r="D67" s="1256"/>
      <c r="E67" s="1317">
        <v>179912.88</v>
      </c>
      <c r="F67" s="232"/>
      <c r="G67" s="1317" t="s">
        <v>809</v>
      </c>
      <c r="H67" s="1287"/>
      <c r="I67" s="1317">
        <v>179912.88</v>
      </c>
      <c r="J67" s="232"/>
      <c r="K67" s="1317" t="s">
        <v>809</v>
      </c>
      <c r="L67" s="1256" t="s">
        <v>852</v>
      </c>
      <c r="M67" s="1317">
        <v>3598.2576000000004</v>
      </c>
      <c r="N67" s="1287" t="s">
        <v>58</v>
      </c>
      <c r="O67" s="1317">
        <v>5654.4048000000003</v>
      </c>
      <c r="P67" s="1287" t="s">
        <v>58</v>
      </c>
      <c r="Q67" s="1317">
        <f>O67/1000*$Z$8*12/44</f>
        <v>408.65925599999997</v>
      </c>
      <c r="R67" s="1287" t="s">
        <v>58</v>
      </c>
      <c r="S67" s="1358">
        <f t="shared" ref="S67:S68" si="38">Q67/10^6</f>
        <v>4.0865925599999997E-4</v>
      </c>
      <c r="T67" s="1287" t="s">
        <v>58</v>
      </c>
      <c r="U67" s="1358">
        <f t="shared" ref="U67:U68" si="39">S67/(12/44)</f>
        <v>1.4984172719999999E-3</v>
      </c>
    </row>
    <row r="68" spans="2:21" ht="12.75" customHeight="1">
      <c r="B68" s="4" t="s">
        <v>1221</v>
      </c>
      <c r="C68" s="1357">
        <v>7.3949999999999996</v>
      </c>
      <c r="D68" s="1256"/>
      <c r="E68" s="1317">
        <v>340096.05</v>
      </c>
      <c r="F68" s="232"/>
      <c r="G68" s="1317" t="s">
        <v>809</v>
      </c>
      <c r="H68" s="1287"/>
      <c r="I68" s="1317">
        <v>340096.05</v>
      </c>
      <c r="J68" s="232"/>
      <c r="K68" s="1317" t="s">
        <v>809</v>
      </c>
      <c r="L68" s="1256" t="s">
        <v>852</v>
      </c>
      <c r="M68" s="1317">
        <v>6801.9209999999985</v>
      </c>
      <c r="N68" s="1287" t="s">
        <v>58</v>
      </c>
      <c r="O68" s="1317">
        <v>10688.732999999997</v>
      </c>
      <c r="P68" s="1287" t="s">
        <v>58</v>
      </c>
      <c r="Q68" s="1317">
        <f>O68/1000*$Z$8*12/44</f>
        <v>772.50388499999997</v>
      </c>
      <c r="R68" s="1287" t="s">
        <v>58</v>
      </c>
      <c r="S68" s="1358">
        <f t="shared" si="38"/>
        <v>7.7250388499999995E-4</v>
      </c>
      <c r="T68" s="1287" t="s">
        <v>58</v>
      </c>
      <c r="U68" s="1358">
        <f t="shared" si="39"/>
        <v>2.8325142449999998E-3</v>
      </c>
    </row>
    <row r="69" spans="2:21" ht="12.75" customHeight="1">
      <c r="B69" s="1310" t="s">
        <v>1225</v>
      </c>
      <c r="C69" s="1359"/>
      <c r="D69" s="1256"/>
      <c r="E69" s="1360"/>
      <c r="F69" s="232"/>
      <c r="G69" s="1360"/>
      <c r="H69" s="1287"/>
      <c r="I69" s="1327"/>
      <c r="J69" s="232"/>
      <c r="K69" s="1327" t="s">
        <v>1262</v>
      </c>
      <c r="L69" s="1256"/>
      <c r="M69" s="1327"/>
      <c r="N69" s="1287"/>
      <c r="O69" s="1327"/>
      <c r="P69" s="1287"/>
      <c r="Q69" s="1327"/>
      <c r="R69" s="1287"/>
      <c r="S69" s="1327"/>
      <c r="T69" s="1287"/>
      <c r="U69" s="1327"/>
    </row>
    <row r="70" spans="2:21" ht="12.75" customHeight="1">
      <c r="B70" s="4" t="s">
        <v>1240</v>
      </c>
      <c r="C70" s="1357">
        <v>6</v>
      </c>
      <c r="D70" s="1256"/>
      <c r="E70" s="1317">
        <v>101900.7</v>
      </c>
      <c r="F70" s="232"/>
      <c r="G70" s="1317">
        <v>76526.437263209998</v>
      </c>
      <c r="H70" s="1287"/>
      <c r="I70" s="1317">
        <v>3831.7624434341997</v>
      </c>
      <c r="J70" s="232"/>
      <c r="K70" s="1317">
        <v>76.526437263209999</v>
      </c>
      <c r="L70" s="1256" t="s">
        <v>852</v>
      </c>
      <c r="M70" s="1317">
        <v>76.635248868684002</v>
      </c>
      <c r="N70" s="1287" t="s">
        <v>58</v>
      </c>
      <c r="O70" s="1317">
        <v>240.6826496358334</v>
      </c>
      <c r="P70" s="1287" t="s">
        <v>58</v>
      </c>
      <c r="Q70" s="1317">
        <f>O70/1000*$Z$8*12/44</f>
        <v>17.394791496407962</v>
      </c>
      <c r="R70" s="1287" t="s">
        <v>58</v>
      </c>
      <c r="S70" s="1358">
        <f t="shared" ref="S70:S74" si="40">Q70/10^6</f>
        <v>1.7394791496407962E-5</v>
      </c>
      <c r="T70" s="1287" t="s">
        <v>58</v>
      </c>
      <c r="U70" s="1358">
        <f t="shared" ref="U70:U74" si="41">S70/(12/44)</f>
        <v>6.3780902153495872E-5</v>
      </c>
    </row>
    <row r="71" spans="2:21" ht="12.75" customHeight="1">
      <c r="B71" s="4" t="s">
        <v>1241</v>
      </c>
      <c r="C71" s="1357">
        <v>10</v>
      </c>
      <c r="D71" s="1256"/>
      <c r="E71" s="1317">
        <v>34777.199999999997</v>
      </c>
      <c r="F71" s="232"/>
      <c r="G71" s="1317">
        <v>26117.339861159999</v>
      </c>
      <c r="H71" s="1287"/>
      <c r="I71" s="1317">
        <v>1307.7237825431998</v>
      </c>
      <c r="J71" s="232"/>
      <c r="K71" s="1317">
        <v>26.117339861159998</v>
      </c>
      <c r="L71" s="1256" t="s">
        <v>852</v>
      </c>
      <c r="M71" s="1317">
        <v>26.154475650863997</v>
      </c>
      <c r="N71" s="1287" t="s">
        <v>58</v>
      </c>
      <c r="O71" s="1317">
        <v>82.141424376037705</v>
      </c>
      <c r="P71" s="1287" t="s">
        <v>58</v>
      </c>
      <c r="Q71" s="1317">
        <f>O71/1000*$Z$8*12/44</f>
        <v>5.9365847617227248</v>
      </c>
      <c r="R71" s="1287" t="s">
        <v>58</v>
      </c>
      <c r="S71" s="1358">
        <f t="shared" si="40"/>
        <v>5.9365847617227251E-6</v>
      </c>
      <c r="T71" s="1287" t="s">
        <v>58</v>
      </c>
      <c r="U71" s="1358">
        <f t="shared" si="41"/>
        <v>2.1767477459649993E-5</v>
      </c>
    </row>
    <row r="72" spans="2:21" ht="12.75" customHeight="1">
      <c r="B72" s="4" t="s">
        <v>1242</v>
      </c>
      <c r="C72" s="1357">
        <v>6</v>
      </c>
      <c r="D72" s="1256"/>
      <c r="E72" s="1317">
        <v>37343.879999999997</v>
      </c>
      <c r="F72" s="232"/>
      <c r="G72" s="1317">
        <v>28044.891644364005</v>
      </c>
      <c r="H72" s="1287"/>
      <c r="I72" s="1317">
        <v>1404.23840931528</v>
      </c>
      <c r="J72" s="232"/>
      <c r="K72" s="1317">
        <v>28.044891644364004</v>
      </c>
      <c r="L72" s="1256" t="s">
        <v>852</v>
      </c>
      <c r="M72" s="1317">
        <v>28.084768186305602</v>
      </c>
      <c r="N72" s="1287" t="s">
        <v>58</v>
      </c>
      <c r="O72" s="1317">
        <v>88.203751162480813</v>
      </c>
      <c r="P72" s="1287" t="s">
        <v>58</v>
      </c>
      <c r="Q72" s="1317">
        <f>O72/1000*$Z$8*12/44</f>
        <v>6.3747256521974771</v>
      </c>
      <c r="R72" s="1287" t="s">
        <v>58</v>
      </c>
      <c r="S72" s="1358">
        <f t="shared" si="40"/>
        <v>6.3747256521974769E-6</v>
      </c>
      <c r="T72" s="1287" t="s">
        <v>58</v>
      </c>
      <c r="U72" s="1358">
        <f t="shared" si="41"/>
        <v>2.3373994058057417E-5</v>
      </c>
    </row>
    <row r="73" spans="2:21" ht="12.75" customHeight="1">
      <c r="B73" s="4" t="s">
        <v>1243</v>
      </c>
      <c r="C73" s="1357">
        <v>7</v>
      </c>
      <c r="D73" s="1256"/>
      <c r="E73" s="1317">
        <v>72777.641999999993</v>
      </c>
      <c r="F73" s="232"/>
      <c r="G73" s="1317">
        <v>54655.303198872592</v>
      </c>
      <c r="H73" s="1287"/>
      <c r="I73" s="1317">
        <v>2736.6508310276517</v>
      </c>
      <c r="J73" s="232"/>
      <c r="K73" s="1317">
        <v>54.655303198872595</v>
      </c>
      <c r="L73" s="1256" t="s">
        <v>852</v>
      </c>
      <c r="M73" s="1317">
        <v>54.733016620553038</v>
      </c>
      <c r="N73" s="1287" t="s">
        <v>58</v>
      </c>
      <c r="O73" s="1317">
        <v>171.8959311448117</v>
      </c>
      <c r="P73" s="1287" t="s">
        <v>58</v>
      </c>
      <c r="Q73" s="1317">
        <f>O73/1000*$Z$8*12/44</f>
        <v>12.423387750920483</v>
      </c>
      <c r="R73" s="1287" t="s">
        <v>58</v>
      </c>
      <c r="S73" s="1358">
        <f t="shared" si="40"/>
        <v>1.2423387750920483E-5</v>
      </c>
      <c r="T73" s="1287" t="s">
        <v>58</v>
      </c>
      <c r="U73" s="1358">
        <f t="shared" si="41"/>
        <v>4.5552421753375103E-5</v>
      </c>
    </row>
    <row r="74" spans="2:21" ht="12.75" customHeight="1">
      <c r="B74" s="4" t="s">
        <v>1244</v>
      </c>
      <c r="C74" s="1357">
        <v>4</v>
      </c>
      <c r="D74" s="1256"/>
      <c r="E74" s="1317">
        <v>55647.9</v>
      </c>
      <c r="F74" s="232"/>
      <c r="G74" s="1317">
        <v>41791.033115370003</v>
      </c>
      <c r="H74" s="1287"/>
      <c r="I74" s="1317">
        <v>2092.5227527973998</v>
      </c>
      <c r="J74" s="232"/>
      <c r="K74" s="1317">
        <v>41.791033115370006</v>
      </c>
      <c r="L74" s="1256" t="s">
        <v>852</v>
      </c>
      <c r="M74" s="1317">
        <v>41.850455055947997</v>
      </c>
      <c r="N74" s="1287" t="s">
        <v>58</v>
      </c>
      <c r="O74" s="1317">
        <v>131.43662426921401</v>
      </c>
      <c r="P74" s="1287" t="s">
        <v>58</v>
      </c>
      <c r="Q74" s="1317">
        <f>O74/1000*$Z$8*12/44</f>
        <v>9.499283299456831</v>
      </c>
      <c r="R74" s="1287" t="s">
        <v>58</v>
      </c>
      <c r="S74" s="1358">
        <f t="shared" si="40"/>
        <v>9.4992832994568306E-6</v>
      </c>
      <c r="T74" s="1287" t="s">
        <v>58</v>
      </c>
      <c r="U74" s="1358">
        <f t="shared" si="41"/>
        <v>3.4830705431341715E-5</v>
      </c>
    </row>
    <row r="75" spans="2:21" ht="12.75" customHeight="1">
      <c r="B75" s="1310" t="s">
        <v>1201</v>
      </c>
      <c r="C75" s="1361"/>
      <c r="D75" s="1256"/>
      <c r="E75" s="1338"/>
      <c r="F75" s="232"/>
      <c r="G75" s="1338"/>
      <c r="H75" s="1287"/>
      <c r="I75" s="1338"/>
      <c r="J75" s="232"/>
      <c r="K75" s="1338" t="s">
        <v>1262</v>
      </c>
      <c r="L75" s="1256"/>
      <c r="M75" s="1338"/>
      <c r="N75" s="1287"/>
      <c r="O75" s="1338"/>
      <c r="P75" s="1287"/>
      <c r="Q75" s="1338"/>
      <c r="R75" s="1287"/>
      <c r="S75" s="1338"/>
      <c r="T75" s="1287"/>
      <c r="U75" s="1338"/>
    </row>
    <row r="76" spans="2:21" ht="12.75" customHeight="1">
      <c r="B76" s="4" t="s">
        <v>1245</v>
      </c>
      <c r="C76" s="1362"/>
      <c r="D76" s="1342"/>
      <c r="E76" s="1344"/>
      <c r="F76" s="1363"/>
      <c r="G76" s="1344"/>
      <c r="H76" s="1364"/>
      <c r="I76" s="1344"/>
      <c r="J76" s="1363"/>
      <c r="K76" s="1344"/>
      <c r="L76" s="1342"/>
      <c r="M76" s="1344"/>
      <c r="N76" s="1364"/>
      <c r="O76" s="1344"/>
      <c r="P76" s="1364"/>
      <c r="Q76" s="1344"/>
      <c r="R76" s="1364"/>
      <c r="S76" s="1344"/>
      <c r="T76" s="1364"/>
      <c r="U76" s="1344"/>
    </row>
    <row r="77" spans="2:21" ht="12.75" customHeight="1">
      <c r="B77" s="4" t="s">
        <v>1246</v>
      </c>
      <c r="C77" s="1357">
        <v>2560</v>
      </c>
      <c r="D77" s="1256"/>
      <c r="E77" s="1317">
        <v>1395993.6000000001</v>
      </c>
      <c r="F77" s="232"/>
      <c r="G77" s="1317">
        <v>69799.679999999993</v>
      </c>
      <c r="H77" s="1287"/>
      <c r="I77" s="1317">
        <v>1326193.92</v>
      </c>
      <c r="J77" s="232"/>
      <c r="K77" s="1317">
        <v>69.799679999999995</v>
      </c>
      <c r="L77" s="1256" t="s">
        <v>852</v>
      </c>
      <c r="M77" s="1317">
        <v>6630.9695999999994</v>
      </c>
      <c r="N77" s="1287" t="s">
        <v>58</v>
      </c>
      <c r="O77" s="1317">
        <v>10529.780297142855</v>
      </c>
      <c r="P77" s="1287" t="s">
        <v>58</v>
      </c>
      <c r="Q77" s="1317">
        <f>O77/1000*$Z$8*12/44</f>
        <v>761.01593965714267</v>
      </c>
      <c r="R77" s="1287" t="s">
        <v>58</v>
      </c>
      <c r="S77" s="1358">
        <f t="shared" ref="S77:S81" si="42">Q77/10^6</f>
        <v>7.6101593965714265E-4</v>
      </c>
      <c r="T77" s="1287" t="s">
        <v>58</v>
      </c>
      <c r="U77" s="1358">
        <f t="shared" ref="U77:U81" si="43">S77/(12/44)</f>
        <v>2.7903917787428568E-3</v>
      </c>
    </row>
    <row r="78" spans="2:21" ht="12.75" customHeight="1">
      <c r="B78" s="4" t="s">
        <v>1247</v>
      </c>
      <c r="C78" s="1357">
        <v>938</v>
      </c>
      <c r="D78" s="1256"/>
      <c r="E78" s="1317">
        <v>382084.92</v>
      </c>
      <c r="F78" s="232"/>
      <c r="G78" s="1317">
        <v>19104.245999999999</v>
      </c>
      <c r="H78" s="1287"/>
      <c r="I78" s="1317">
        <v>362980.67399999994</v>
      </c>
      <c r="J78" s="232"/>
      <c r="K78" s="1317">
        <v>19.104246</v>
      </c>
      <c r="L78" s="1256" t="s">
        <v>852</v>
      </c>
      <c r="M78" s="1317">
        <v>1814.9033699999998</v>
      </c>
      <c r="N78" s="1287" t="s">
        <v>58</v>
      </c>
      <c r="O78" s="1317">
        <v>2882.0119679999998</v>
      </c>
      <c r="P78" s="1287" t="s">
        <v>58</v>
      </c>
      <c r="Q78" s="1317">
        <f>O78/1000*$Z$8*12/44</f>
        <v>208.29086495999999</v>
      </c>
      <c r="R78" s="1287" t="s">
        <v>58</v>
      </c>
      <c r="S78" s="1358">
        <f t="shared" si="42"/>
        <v>2.0829086496E-4</v>
      </c>
      <c r="T78" s="1287" t="s">
        <v>58</v>
      </c>
      <c r="U78" s="1358">
        <f t="shared" si="43"/>
        <v>7.6373317152000008E-4</v>
      </c>
    </row>
    <row r="79" spans="2:21" ht="12.75" customHeight="1">
      <c r="B79" s="4" t="s">
        <v>1248</v>
      </c>
      <c r="C79" s="1357">
        <v>16</v>
      </c>
      <c r="D79" s="1256"/>
      <c r="E79" s="1317">
        <v>8724.9599999999991</v>
      </c>
      <c r="F79" s="232"/>
      <c r="G79" s="1317">
        <v>436.24799999999999</v>
      </c>
      <c r="H79" s="1287"/>
      <c r="I79" s="1317">
        <v>8288.7119999999995</v>
      </c>
      <c r="J79" s="232"/>
      <c r="K79" s="1317">
        <v>0.43624800000000002</v>
      </c>
      <c r="L79" s="1256" t="s">
        <v>852</v>
      </c>
      <c r="M79" s="1317">
        <v>41.443559999999998</v>
      </c>
      <c r="N79" s="1287" t="s">
        <v>58</v>
      </c>
      <c r="O79" s="1317">
        <v>65.811126857142852</v>
      </c>
      <c r="P79" s="1287" t="s">
        <v>58</v>
      </c>
      <c r="Q79" s="1317">
        <f>O79/1000*$Z$8*12/44</f>
        <v>4.7563496228571429</v>
      </c>
      <c r="R79" s="1287" t="s">
        <v>58</v>
      </c>
      <c r="S79" s="1358">
        <f t="shared" si="42"/>
        <v>4.7563496228571426E-6</v>
      </c>
      <c r="T79" s="1287" t="s">
        <v>58</v>
      </c>
      <c r="U79" s="1358">
        <f t="shared" si="43"/>
        <v>1.7439948617142859E-5</v>
      </c>
    </row>
    <row r="80" spans="2:21" ht="12.75" customHeight="1">
      <c r="B80" s="4" t="s">
        <v>1249</v>
      </c>
      <c r="C80" s="1357">
        <v>54090.909</v>
      </c>
      <c r="D80" s="754"/>
      <c r="E80" s="1317">
        <v>19545749.967150003</v>
      </c>
      <c r="F80" s="232"/>
      <c r="G80" s="1317" t="s">
        <v>809</v>
      </c>
      <c r="H80" s="1287"/>
      <c r="I80" s="1317">
        <v>19545749.967150003</v>
      </c>
      <c r="J80" s="232"/>
      <c r="K80" s="1317" t="s">
        <v>809</v>
      </c>
      <c r="L80" s="1256" t="s">
        <v>852</v>
      </c>
      <c r="M80" s="1317">
        <v>390914.99934300006</v>
      </c>
      <c r="N80" s="1287" t="s">
        <v>58</v>
      </c>
      <c r="O80" s="1317">
        <v>614294.99896757153</v>
      </c>
      <c r="P80" s="1287" t="s">
        <v>58</v>
      </c>
      <c r="Q80" s="1317">
        <f>O80/1000*$Z$8*12/44</f>
        <v>44396.774925383579</v>
      </c>
      <c r="R80" s="1287" t="s">
        <v>58</v>
      </c>
      <c r="S80" s="1358">
        <f t="shared" si="42"/>
        <v>4.4396774925383582E-2</v>
      </c>
      <c r="T80" s="1287" t="s">
        <v>58</v>
      </c>
      <c r="U80" s="1358">
        <f t="shared" si="43"/>
        <v>0.16278817472640647</v>
      </c>
    </row>
    <row r="81" spans="1:51" ht="12.75" customHeight="1">
      <c r="B81" s="4" t="s">
        <v>1250</v>
      </c>
      <c r="C81" s="1357">
        <v>243.333</v>
      </c>
      <c r="D81" s="754"/>
      <c r="E81" s="1317">
        <v>446924.85443999997</v>
      </c>
      <c r="F81" s="232"/>
      <c r="G81" s="1317" t="s">
        <v>809</v>
      </c>
      <c r="H81" s="1287"/>
      <c r="I81" s="1317">
        <v>446924.85443999997</v>
      </c>
      <c r="J81" s="232"/>
      <c r="K81" s="1317" t="s">
        <v>809</v>
      </c>
      <c r="L81" s="1256" t="s">
        <v>852</v>
      </c>
      <c r="M81" s="1317">
        <v>8938.4970887999989</v>
      </c>
      <c r="N81" s="1287" t="s">
        <v>58</v>
      </c>
      <c r="O81" s="1317">
        <v>14046.209710971427</v>
      </c>
      <c r="P81" s="1287" t="s">
        <v>58</v>
      </c>
      <c r="Q81" s="1317">
        <f>O81/1000*$Z$8*12/44</f>
        <v>1015.1578836565714</v>
      </c>
      <c r="R81" s="1287" t="s">
        <v>58</v>
      </c>
      <c r="S81" s="1358">
        <f t="shared" si="42"/>
        <v>1.0151578836565713E-3</v>
      </c>
      <c r="T81" s="1287" t="s">
        <v>58</v>
      </c>
      <c r="U81" s="1358">
        <f t="shared" si="43"/>
        <v>3.7222455734074286E-3</v>
      </c>
    </row>
    <row r="82" spans="1:51" ht="12.75" customHeight="1">
      <c r="B82" s="1310" t="s">
        <v>592</v>
      </c>
      <c r="C82" s="1359"/>
      <c r="D82" s="754"/>
      <c r="E82" s="1327"/>
      <c r="F82" s="232"/>
      <c r="G82" s="1327"/>
      <c r="H82" s="1287"/>
      <c r="I82" s="1327"/>
      <c r="J82" s="232"/>
      <c r="K82" s="1327" t="s">
        <v>1262</v>
      </c>
      <c r="L82" s="1256"/>
      <c r="M82" s="1327"/>
      <c r="N82" s="1287"/>
      <c r="O82" s="1327"/>
      <c r="P82" s="1287"/>
      <c r="Q82" s="1329"/>
      <c r="R82" s="1287"/>
      <c r="S82" s="1329"/>
      <c r="T82" s="1287"/>
      <c r="U82" s="1329"/>
    </row>
    <row r="83" spans="1:51" ht="12.75" customHeight="1">
      <c r="B83" s="1278" t="s">
        <v>1251</v>
      </c>
      <c r="C83" s="1357">
        <v>0</v>
      </c>
      <c r="D83" s="754"/>
      <c r="E83" s="1317">
        <v>0</v>
      </c>
      <c r="F83" s="232"/>
      <c r="G83" s="1317" t="s">
        <v>809</v>
      </c>
      <c r="H83" s="1287"/>
      <c r="I83" s="1317">
        <v>0</v>
      </c>
      <c r="J83" s="232"/>
      <c r="K83" s="1317" t="s">
        <v>809</v>
      </c>
      <c r="L83" s="1256" t="s">
        <v>852</v>
      </c>
      <c r="M83" s="1317">
        <v>0</v>
      </c>
      <c r="N83" s="1287" t="s">
        <v>58</v>
      </c>
      <c r="O83" s="1317">
        <v>0</v>
      </c>
      <c r="P83" s="1287" t="s">
        <v>58</v>
      </c>
      <c r="Q83" s="1317">
        <f>O83/1000*$Z$8*12/44</f>
        <v>0</v>
      </c>
      <c r="R83" s="1287" t="s">
        <v>58</v>
      </c>
      <c r="S83" s="1358">
        <f t="shared" ref="S83:S85" si="44">Q83/10^6</f>
        <v>0</v>
      </c>
      <c r="T83" s="1287" t="s">
        <v>58</v>
      </c>
      <c r="U83" s="1358">
        <f t="shared" ref="U83:U85" si="45">S83/(12/44)</f>
        <v>0</v>
      </c>
    </row>
    <row r="84" spans="1:51" ht="13.5" customHeight="1">
      <c r="B84" s="1278" t="s">
        <v>1252</v>
      </c>
      <c r="C84" s="1357">
        <v>22</v>
      </c>
      <c r="D84" s="754"/>
      <c r="E84" s="1317">
        <v>91060.2</v>
      </c>
      <c r="F84" s="232"/>
      <c r="G84" s="1317" t="s">
        <v>809</v>
      </c>
      <c r="H84" s="1287"/>
      <c r="I84" s="1317">
        <v>0</v>
      </c>
      <c r="J84" s="232"/>
      <c r="K84" s="1317" t="s">
        <v>809</v>
      </c>
      <c r="L84" s="1256" t="s">
        <v>852</v>
      </c>
      <c r="M84" s="1317">
        <v>0</v>
      </c>
      <c r="N84" s="1287" t="s">
        <v>58</v>
      </c>
      <c r="O84" s="1317">
        <v>0</v>
      </c>
      <c r="P84" s="1287" t="s">
        <v>58</v>
      </c>
      <c r="Q84" s="1317">
        <f>O84/1000*$Z$8*12/44</f>
        <v>0</v>
      </c>
      <c r="R84" s="1287" t="s">
        <v>58</v>
      </c>
      <c r="S84" s="1365">
        <f t="shared" si="44"/>
        <v>0</v>
      </c>
      <c r="T84" s="1287" t="s">
        <v>58</v>
      </c>
      <c r="U84" s="1358">
        <f t="shared" si="45"/>
        <v>0</v>
      </c>
    </row>
    <row r="85" spans="1:51" ht="13.5" customHeight="1">
      <c r="B85" s="895" t="s">
        <v>725</v>
      </c>
      <c r="C85" s="1366" t="s">
        <v>1262</v>
      </c>
      <c r="D85" s="232"/>
      <c r="E85" s="1351">
        <v>31098944.753590003</v>
      </c>
      <c r="F85" s="232"/>
      <c r="G85" s="1351">
        <v>2260042.2620409038</v>
      </c>
      <c r="H85" s="232"/>
      <c r="I85" s="1351">
        <v>24772402.512187321</v>
      </c>
      <c r="J85" s="1287"/>
      <c r="K85" s="1351">
        <v>2260.0422620409031</v>
      </c>
      <c r="L85" s="1329"/>
      <c r="M85" s="1351">
        <v>469986.10065374651</v>
      </c>
      <c r="N85" s="1287"/>
      <c r="O85" s="1351">
        <f>SUM(O64:O84)</f>
        <v>741514.01137935114</v>
      </c>
      <c r="P85" s="1287"/>
      <c r="Q85" s="1351">
        <f>SUM(Q64:Q84)</f>
        <v>53591.23991332583</v>
      </c>
      <c r="R85" s="1287"/>
      <c r="S85" s="1367">
        <f t="shared" si="44"/>
        <v>5.359123991332583E-2</v>
      </c>
      <c r="T85" s="1287"/>
      <c r="U85" s="1368">
        <f t="shared" si="45"/>
        <v>0.19650121301552806</v>
      </c>
    </row>
    <row r="86" spans="1:51" ht="12" customHeight="1">
      <c r="A86" s="16"/>
      <c r="B86" s="1296"/>
      <c r="C86" s="1297"/>
      <c r="D86" s="1298"/>
      <c r="E86" s="1298"/>
      <c r="F86" s="1298"/>
      <c r="G86" s="1299"/>
      <c r="H86" s="1300"/>
      <c r="I86" s="1301"/>
      <c r="J86" s="1300"/>
      <c r="K86" s="1302"/>
      <c r="L86" s="16"/>
      <c r="M86" s="1302"/>
      <c r="N86" s="16"/>
      <c r="O86" s="16"/>
      <c r="P86" s="16"/>
      <c r="Q86" s="16"/>
      <c r="R86" s="16"/>
      <c r="S86" s="16"/>
      <c r="T86" s="16"/>
      <c r="U86" s="16"/>
    </row>
    <row r="87" spans="1:51" ht="19.5" customHeight="1">
      <c r="B87" s="1369" t="s">
        <v>1263</v>
      </c>
      <c r="C87" s="1303"/>
      <c r="D87" s="1304"/>
      <c r="E87" s="1304"/>
      <c r="F87" s="1304"/>
      <c r="G87" s="1305"/>
      <c r="H87" s="307"/>
      <c r="I87" s="1306"/>
      <c r="J87" s="307"/>
      <c r="K87" s="1307"/>
      <c r="M87" s="1307"/>
    </row>
    <row r="88" spans="1:51" ht="11.25" customHeight="1">
      <c r="A88" s="46"/>
      <c r="B88" s="1370" t="s">
        <v>1264</v>
      </c>
      <c r="C88" s="1371"/>
      <c r="D88" s="1371"/>
      <c r="E88" s="1371"/>
      <c r="F88" s="1371"/>
      <c r="G88" s="1371"/>
      <c r="H88" s="46"/>
      <c r="I88" s="46"/>
      <c r="J88" s="1371"/>
      <c r="K88" s="1371"/>
      <c r="L88" s="1371"/>
      <c r="M88" s="1372"/>
      <c r="N88" s="1371"/>
      <c r="O88" s="1371"/>
      <c r="P88" s="1373"/>
      <c r="Q88" s="1371"/>
      <c r="R88" s="1371"/>
      <c r="S88" s="1371"/>
      <c r="T88" s="1371"/>
      <c r="U88" s="1371"/>
      <c r="V88" s="1371"/>
      <c r="W88" s="1371"/>
      <c r="X88" s="1371"/>
      <c r="Y88" s="1371"/>
      <c r="Z88" s="1371"/>
      <c r="AA88" s="1371"/>
      <c r="AB88" s="1371"/>
      <c r="AC88" s="1371"/>
      <c r="AD88" s="1371"/>
      <c r="AE88" s="1371"/>
      <c r="AF88" s="46"/>
      <c r="AG88" s="46"/>
      <c r="AH88" s="46"/>
      <c r="AI88" s="46"/>
      <c r="AJ88" s="46"/>
      <c r="AK88" s="46"/>
      <c r="AL88" s="46"/>
      <c r="AM88" s="46"/>
      <c r="AN88" s="46"/>
      <c r="AO88" s="46"/>
      <c r="AP88" s="46"/>
      <c r="AQ88" s="46"/>
      <c r="AR88" s="46"/>
      <c r="AS88" s="46"/>
      <c r="AT88" s="46"/>
      <c r="AU88" s="46"/>
      <c r="AV88" s="46"/>
      <c r="AW88" s="46"/>
      <c r="AX88" s="46"/>
      <c r="AY88" s="46"/>
    </row>
    <row r="89" spans="1:51" ht="48.75" customHeight="1">
      <c r="A89" s="46"/>
      <c r="B89" s="1374"/>
      <c r="C89" s="1182" t="s">
        <v>245</v>
      </c>
      <c r="D89" s="1182"/>
      <c r="E89" s="1182" t="s">
        <v>1265</v>
      </c>
      <c r="F89" s="1182"/>
      <c r="G89" s="1182" t="s">
        <v>1266</v>
      </c>
      <c r="H89" s="46"/>
      <c r="I89" s="1375" t="s">
        <v>1267</v>
      </c>
      <c r="J89" s="46"/>
      <c r="K89" s="1182" t="s">
        <v>1268</v>
      </c>
      <c r="L89" s="1182"/>
      <c r="M89" s="1376" t="s">
        <v>1269</v>
      </c>
      <c r="N89" s="1187"/>
      <c r="O89" s="1376" t="s">
        <v>1270</v>
      </c>
      <c r="P89" s="1376"/>
      <c r="Q89" s="1376" t="s">
        <v>1271</v>
      </c>
      <c r="R89" s="46"/>
      <c r="S89" s="1182" t="s">
        <v>1272</v>
      </c>
      <c r="T89" s="1182"/>
      <c r="U89" s="1376" t="s">
        <v>1273</v>
      </c>
      <c r="V89" s="46"/>
      <c r="W89" s="1182" t="s">
        <v>1274</v>
      </c>
      <c r="X89" s="46"/>
      <c r="Y89" s="46"/>
      <c r="Z89" s="1187" t="s">
        <v>1275</v>
      </c>
      <c r="AA89" s="1182" t="s">
        <v>1276</v>
      </c>
      <c r="AB89" s="46"/>
      <c r="AC89" s="1377" t="s">
        <v>1277</v>
      </c>
      <c r="AD89" s="46"/>
      <c r="AE89" s="1182" t="s">
        <v>1278</v>
      </c>
      <c r="AF89" s="46"/>
      <c r="AG89" s="46"/>
      <c r="AH89" s="46"/>
      <c r="AI89" s="46"/>
      <c r="AJ89" s="46"/>
      <c r="AK89" s="46"/>
      <c r="AL89" s="46"/>
      <c r="AM89" s="46"/>
      <c r="AN89" s="46"/>
      <c r="AO89" s="46"/>
      <c r="AP89" s="46"/>
      <c r="AQ89" s="46"/>
      <c r="AR89" s="46"/>
      <c r="AS89" s="46"/>
      <c r="AT89" s="46"/>
      <c r="AU89" s="46"/>
      <c r="AV89" s="46"/>
      <c r="AW89" s="46"/>
      <c r="AX89" s="46"/>
      <c r="AY89" s="46"/>
    </row>
    <row r="90" spans="1:51" ht="12" customHeight="1">
      <c r="A90" s="46"/>
      <c r="B90" s="1378" t="s">
        <v>1279</v>
      </c>
      <c r="C90" s="1379" t="s">
        <v>1280</v>
      </c>
      <c r="D90" s="1182"/>
      <c r="E90" s="1380">
        <v>156</v>
      </c>
      <c r="F90" s="1381"/>
      <c r="G90" s="1382" t="s">
        <v>809</v>
      </c>
      <c r="H90" s="1383"/>
      <c r="I90" s="1383">
        <v>0</v>
      </c>
      <c r="J90" s="1383"/>
      <c r="K90" s="1384">
        <f>E90*0.9072*1000</f>
        <v>141523.20000000001</v>
      </c>
      <c r="L90" s="1385"/>
      <c r="M90" s="1383">
        <v>0.85</v>
      </c>
      <c r="N90" s="1383"/>
      <c r="O90" s="1383">
        <v>0</v>
      </c>
      <c r="P90" s="1383"/>
      <c r="Q90" s="1383" t="s">
        <v>809</v>
      </c>
      <c r="R90" s="1383"/>
      <c r="S90" s="1384" t="s">
        <v>809</v>
      </c>
      <c r="T90" s="1386"/>
      <c r="U90" s="1383">
        <v>0.03</v>
      </c>
      <c r="V90" s="1383"/>
      <c r="W90" s="1384">
        <f>(K90*1000)*(1+I90)*M90*U90</f>
        <v>3608841.6</v>
      </c>
      <c r="X90" s="46"/>
      <c r="Y90" s="1264" t="s">
        <v>1281</v>
      </c>
      <c r="Z90" s="1187">
        <v>0.01</v>
      </c>
      <c r="AA90" s="1387">
        <f>S111/1000*Z90*44/28</f>
        <v>402.03381228776044</v>
      </c>
      <c r="AB90" s="46"/>
      <c r="AC90" s="1388">
        <f>AA90*$Z$8*12/44*10^-6</f>
        <v>2.9056080069888138E-2</v>
      </c>
      <c r="AD90" s="46"/>
      <c r="AE90" s="1388">
        <v>9.2700358370483606E-3</v>
      </c>
      <c r="AF90" s="46"/>
      <c r="AG90" s="46"/>
      <c r="AH90" s="46"/>
      <c r="AI90" s="46"/>
      <c r="AJ90" s="46"/>
      <c r="AK90" s="46"/>
      <c r="AL90" s="46"/>
      <c r="AM90" s="46"/>
      <c r="AN90" s="46"/>
      <c r="AO90" s="46"/>
      <c r="AP90" s="46"/>
      <c r="AQ90" s="46"/>
      <c r="AR90" s="46"/>
      <c r="AS90" s="46"/>
      <c r="AT90" s="46"/>
      <c r="AU90" s="46"/>
      <c r="AV90" s="46"/>
      <c r="AW90" s="46"/>
      <c r="AX90" s="46"/>
      <c r="AY90" s="46"/>
    </row>
    <row r="91" spans="1:51" ht="12" customHeight="1">
      <c r="A91" s="46"/>
      <c r="B91" s="46" t="s">
        <v>1282</v>
      </c>
      <c r="C91" s="1379" t="s">
        <v>1283</v>
      </c>
      <c r="D91" s="1379"/>
      <c r="E91" s="1389">
        <v>60350</v>
      </c>
      <c r="F91" s="1390"/>
      <c r="G91" s="1391">
        <v>2.5401147108E-2</v>
      </c>
      <c r="H91" s="1392"/>
      <c r="I91" s="1392">
        <v>1</v>
      </c>
      <c r="J91" s="1392"/>
      <c r="K91" s="1393">
        <f t="shared" ref="K91:K97" si="46">E91*1000*G91</f>
        <v>1532959.2279678001</v>
      </c>
      <c r="L91" s="1393"/>
      <c r="M91" s="1392">
        <v>0.91</v>
      </c>
      <c r="N91" s="1392"/>
      <c r="O91" s="1392">
        <v>0.9</v>
      </c>
      <c r="P91" s="1392"/>
      <c r="Q91" s="1392">
        <v>5.7999999999999996E-3</v>
      </c>
      <c r="R91" s="1392"/>
      <c r="S91" s="1393">
        <f t="shared" ref="S91:S105" si="47">(K91*1000)*I91*M91*O91*Q91</f>
        <v>7281862.9246926438</v>
      </c>
      <c r="T91" s="1394"/>
      <c r="U91" s="1392">
        <v>0.03</v>
      </c>
      <c r="V91" s="1392"/>
      <c r="W91" s="1393" t="s">
        <v>809</v>
      </c>
      <c r="X91" s="46"/>
      <c r="Y91" s="1264" t="s">
        <v>1284</v>
      </c>
      <c r="Z91" s="1187">
        <v>0.01</v>
      </c>
      <c r="AA91" s="1387">
        <f>W111/1000*Z91*44/28</f>
        <v>603.78691717004938</v>
      </c>
      <c r="AB91" s="46"/>
      <c r="AC91" s="1388">
        <f>AA91*$Z$8*12/44*10^-6</f>
        <v>4.3637327195471753E-2</v>
      </c>
      <c r="AD91" s="46"/>
      <c r="AE91" s="1388">
        <v>1.3922028916565602E-2</v>
      </c>
      <c r="AF91" s="46"/>
      <c r="AG91" s="46"/>
      <c r="AH91" s="46"/>
      <c r="AI91" s="46"/>
      <c r="AJ91" s="46"/>
      <c r="AK91" s="46"/>
      <c r="AL91" s="46"/>
      <c r="AM91" s="46"/>
      <c r="AN91" s="46"/>
      <c r="AO91" s="46"/>
      <c r="AP91" s="46"/>
      <c r="AQ91" s="46"/>
      <c r="AR91" s="46"/>
      <c r="AS91" s="46"/>
      <c r="AT91" s="46"/>
      <c r="AU91" s="46"/>
      <c r="AV91" s="46"/>
      <c r="AW91" s="46"/>
      <c r="AX91" s="46"/>
      <c r="AY91" s="46"/>
    </row>
    <row r="92" spans="1:51" ht="11.25" customHeight="1">
      <c r="A92" s="46"/>
      <c r="B92" s="46" t="s">
        <v>1285</v>
      </c>
      <c r="C92" s="1379" t="s">
        <v>1283</v>
      </c>
      <c r="D92" s="1379"/>
      <c r="E92" s="1389">
        <v>8500</v>
      </c>
      <c r="F92" s="1390"/>
      <c r="G92" s="1391">
        <v>2.7215442853E-2</v>
      </c>
      <c r="H92" s="1392"/>
      <c r="I92" s="1392">
        <v>1.3</v>
      </c>
      <c r="J92" s="1392"/>
      <c r="K92" s="1393">
        <f t="shared" si="46"/>
        <v>231331.26425050001</v>
      </c>
      <c r="L92" s="1393"/>
      <c r="M92" s="1392">
        <v>0.93</v>
      </c>
      <c r="N92" s="1392"/>
      <c r="O92" s="1392">
        <v>0.9</v>
      </c>
      <c r="P92" s="1392"/>
      <c r="Q92" s="1392">
        <v>6.1999999999999998E-3</v>
      </c>
      <c r="R92" s="1392"/>
      <c r="S92" s="1393">
        <f t="shared" si="47"/>
        <v>1560611.6015120081</v>
      </c>
      <c r="T92" s="1394"/>
      <c r="U92" s="1392">
        <v>0.03</v>
      </c>
      <c r="V92" s="1392"/>
      <c r="W92" s="1393" t="s">
        <v>809</v>
      </c>
      <c r="X92" s="46"/>
      <c r="Y92" s="97"/>
      <c r="Z92" s="1035"/>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row>
    <row r="93" spans="1:51" ht="11.25" customHeight="1">
      <c r="A93" s="46"/>
      <c r="B93" s="46" t="s">
        <v>1286</v>
      </c>
      <c r="C93" s="1379" t="s">
        <v>1283</v>
      </c>
      <c r="D93" s="1379"/>
      <c r="E93" s="1389">
        <v>2784</v>
      </c>
      <c r="F93" s="1390"/>
      <c r="G93" s="1391">
        <v>2.1772E-2</v>
      </c>
      <c r="H93" s="1392"/>
      <c r="I93" s="1392">
        <v>1.2</v>
      </c>
      <c r="J93" s="1392"/>
      <c r="K93" s="1393">
        <f t="shared" si="46"/>
        <v>60613.248</v>
      </c>
      <c r="L93" s="1393"/>
      <c r="M93" s="1392">
        <v>0.93</v>
      </c>
      <c r="N93" s="1392"/>
      <c r="O93" s="1392">
        <v>0.9</v>
      </c>
      <c r="P93" s="1392"/>
      <c r="Q93" s="1392">
        <v>7.7000000000000002E-3</v>
      </c>
      <c r="R93" s="1392"/>
      <c r="S93" s="1393">
        <f t="shared" si="47"/>
        <v>468775.58644223999</v>
      </c>
      <c r="T93" s="1394"/>
      <c r="U93" s="1392">
        <v>0.03</v>
      </c>
      <c r="V93" s="1392"/>
      <c r="W93" s="1393" t="s">
        <v>809</v>
      </c>
      <c r="X93" s="46"/>
      <c r="Y93" s="46"/>
      <c r="Z93" s="1035"/>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row>
    <row r="94" spans="1:51" ht="11.25" customHeight="1">
      <c r="A94" s="46"/>
      <c r="B94" s="46" t="s">
        <v>1287</v>
      </c>
      <c r="C94" s="1379" t="s">
        <v>1283</v>
      </c>
      <c r="D94" s="1379"/>
      <c r="E94" s="1389">
        <v>0</v>
      </c>
      <c r="F94" s="1390"/>
      <c r="G94" s="1391">
        <v>2.5401169512752383E-2</v>
      </c>
      <c r="H94" s="1392"/>
      <c r="I94" s="1392">
        <v>1.4</v>
      </c>
      <c r="J94" s="1392"/>
      <c r="K94" s="1393">
        <f t="shared" si="46"/>
        <v>0</v>
      </c>
      <c r="L94" s="1393"/>
      <c r="M94" s="1392">
        <v>0.91</v>
      </c>
      <c r="N94" s="1392"/>
      <c r="O94" s="1392">
        <v>0.9</v>
      </c>
      <c r="P94" s="1392"/>
      <c r="Q94" s="1392">
        <v>1.0800000000000001E-2</v>
      </c>
      <c r="R94" s="1392"/>
      <c r="S94" s="1393">
        <f t="shared" si="47"/>
        <v>0</v>
      </c>
      <c r="T94" s="1394"/>
      <c r="U94" s="1392">
        <v>0.03</v>
      </c>
      <c r="V94" s="1392"/>
      <c r="W94" s="1393" t="s">
        <v>809</v>
      </c>
      <c r="X94" s="46"/>
      <c r="Y94" s="46"/>
      <c r="Z94" s="1035"/>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row>
    <row r="95" spans="1:51" ht="11.25" customHeight="1">
      <c r="A95" s="46"/>
      <c r="B95" s="46" t="s">
        <v>1288</v>
      </c>
      <c r="C95" s="1379" t="s">
        <v>1283</v>
      </c>
      <c r="D95" s="1379"/>
      <c r="E95" s="1389">
        <v>0</v>
      </c>
      <c r="F95" s="1390"/>
      <c r="G95" s="1391">
        <v>1.4514959222223263E-2</v>
      </c>
      <c r="H95" s="1392"/>
      <c r="I95" s="1392">
        <v>1.3</v>
      </c>
      <c r="J95" s="1392"/>
      <c r="K95" s="1393">
        <f t="shared" si="46"/>
        <v>0</v>
      </c>
      <c r="L95" s="1393"/>
      <c r="M95" s="1392">
        <v>0.92</v>
      </c>
      <c r="N95" s="1392"/>
      <c r="O95" s="1392">
        <v>0.9</v>
      </c>
      <c r="P95" s="1392"/>
      <c r="Q95" s="1392">
        <v>7.0000000000000001E-3</v>
      </c>
      <c r="R95" s="1392"/>
      <c r="S95" s="1393">
        <f t="shared" si="47"/>
        <v>0</v>
      </c>
      <c r="T95" s="1394"/>
      <c r="U95" s="1392">
        <v>0.03</v>
      </c>
      <c r="V95" s="1392"/>
      <c r="W95" s="1393" t="s">
        <v>809</v>
      </c>
      <c r="X95" s="46"/>
      <c r="Y95" s="46"/>
      <c r="Z95" s="1035"/>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row>
    <row r="96" spans="1:51" ht="11.25" customHeight="1">
      <c r="A96" s="46"/>
      <c r="B96" s="46" t="s">
        <v>1289</v>
      </c>
      <c r="C96" s="1379" t="s">
        <v>1283</v>
      </c>
      <c r="D96" s="1379"/>
      <c r="E96" s="1389">
        <v>0</v>
      </c>
      <c r="F96" s="1390"/>
      <c r="G96" s="1391">
        <v>2.5401046494036766E-2</v>
      </c>
      <c r="H96" s="1392"/>
      <c r="I96" s="1392">
        <v>1.6</v>
      </c>
      <c r="J96" s="1392"/>
      <c r="K96" s="1393">
        <f t="shared" si="46"/>
        <v>0</v>
      </c>
      <c r="L96" s="1393"/>
      <c r="M96" s="1392">
        <v>0.9</v>
      </c>
      <c r="N96" s="1392"/>
      <c r="O96" s="1392">
        <v>0.9</v>
      </c>
      <c r="P96" s="1392"/>
      <c r="Q96" s="1392">
        <v>4.7999999999999996E-3</v>
      </c>
      <c r="R96" s="1392"/>
      <c r="S96" s="1393">
        <f t="shared" si="47"/>
        <v>0</v>
      </c>
      <c r="T96" s="1394"/>
      <c r="U96" s="1392">
        <v>0.03</v>
      </c>
      <c r="V96" s="1392"/>
      <c r="W96" s="1393" t="s">
        <v>809</v>
      </c>
      <c r="X96" s="46"/>
      <c r="Y96" s="46"/>
      <c r="Z96" s="1035"/>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row>
    <row r="97" spans="1:51" ht="11.25" customHeight="1">
      <c r="A97" s="46"/>
      <c r="B97" s="46" t="s">
        <v>1290</v>
      </c>
      <c r="C97" s="1379" t="s">
        <v>1283</v>
      </c>
      <c r="D97" s="1379"/>
      <c r="E97" s="1380">
        <v>0</v>
      </c>
      <c r="F97" s="1390"/>
      <c r="G97" s="1391">
        <v>2.7215E-2</v>
      </c>
      <c r="H97" s="1392"/>
      <c r="I97" s="1392">
        <v>1.4</v>
      </c>
      <c r="J97" s="1392"/>
      <c r="K97" s="1393">
        <f t="shared" si="46"/>
        <v>0</v>
      </c>
      <c r="L97" s="1394"/>
      <c r="M97" s="1392">
        <v>0.89</v>
      </c>
      <c r="N97" s="1392"/>
      <c r="O97" s="1392">
        <v>0.89</v>
      </c>
      <c r="P97" s="1392"/>
      <c r="Q97" s="1392">
        <v>7.0000000000000001E-3</v>
      </c>
      <c r="R97" s="1392"/>
      <c r="S97" s="1393">
        <f t="shared" si="47"/>
        <v>0</v>
      </c>
      <c r="T97" s="1394"/>
      <c r="U97" s="1392">
        <v>0.03</v>
      </c>
      <c r="V97" s="1392"/>
      <c r="W97" s="1393" t="s">
        <v>809</v>
      </c>
      <c r="X97" s="46"/>
      <c r="Y97" s="46"/>
      <c r="Z97" s="1227"/>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row>
    <row r="98" spans="1:51" ht="33.75" customHeight="1">
      <c r="A98" s="46"/>
      <c r="B98" s="46" t="s">
        <v>1291</v>
      </c>
      <c r="C98" s="1379" t="s">
        <v>1292</v>
      </c>
      <c r="D98" s="1379"/>
      <c r="E98" s="1389">
        <v>0</v>
      </c>
      <c r="F98" s="1390"/>
      <c r="G98" s="1391" t="s">
        <v>809</v>
      </c>
      <c r="H98" s="1392"/>
      <c r="I98" s="1392">
        <v>1.4</v>
      </c>
      <c r="J98" s="1392"/>
      <c r="K98" s="1393">
        <f>(E98*0.454)*100</f>
        <v>0</v>
      </c>
      <c r="L98" s="1393"/>
      <c r="M98" s="1392">
        <v>0.91</v>
      </c>
      <c r="N98" s="1392"/>
      <c r="O98" s="1392">
        <v>1</v>
      </c>
      <c r="P98" s="1392"/>
      <c r="Q98" s="1392">
        <v>7.1999999999999998E-3</v>
      </c>
      <c r="R98" s="1392"/>
      <c r="S98" s="1393">
        <f t="shared" si="47"/>
        <v>0</v>
      </c>
      <c r="T98" s="1394"/>
      <c r="U98" s="1392">
        <v>0.03</v>
      </c>
      <c r="V98" s="1392"/>
      <c r="W98" s="1393" t="s">
        <v>809</v>
      </c>
      <c r="X98" s="46"/>
      <c r="Y98" s="46"/>
      <c r="Z98" s="1035"/>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row>
    <row r="99" spans="1:51" ht="11.25" customHeight="1">
      <c r="A99" s="46"/>
      <c r="B99" s="46" t="s">
        <v>1293</v>
      </c>
      <c r="C99" s="1379" t="s">
        <v>1283</v>
      </c>
      <c r="D99" s="1379"/>
      <c r="E99" s="1389">
        <v>15810</v>
      </c>
      <c r="F99" s="1390"/>
      <c r="G99" s="1391">
        <v>2.7215692074999999E-2</v>
      </c>
      <c r="H99" s="1392"/>
      <c r="I99" s="1392">
        <v>2.1</v>
      </c>
      <c r="J99" s="1392"/>
      <c r="K99" s="1393">
        <f>E99*1000*G99</f>
        <v>430280.09170574998</v>
      </c>
      <c r="L99" s="1393"/>
      <c r="M99" s="1392">
        <v>0.87</v>
      </c>
      <c r="N99" s="1392"/>
      <c r="O99" s="1392">
        <v>0.9</v>
      </c>
      <c r="P99" s="1392"/>
      <c r="Q99" s="1392">
        <v>2.3E-2</v>
      </c>
      <c r="R99" s="1392"/>
      <c r="S99" s="1393">
        <f t="shared" si="47"/>
        <v>16272719.760210589</v>
      </c>
      <c r="T99" s="1394"/>
      <c r="U99" s="1392">
        <v>0.03</v>
      </c>
      <c r="V99" s="1392"/>
      <c r="W99" s="1393">
        <f t="shared" ref="W99:W110" si="48">(K99*1000)*(1+I99)*M99*U99</f>
        <v>34813962.219912231</v>
      </c>
      <c r="X99" s="46"/>
      <c r="Y99" s="46"/>
      <c r="Z99" s="1035"/>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row>
    <row r="100" spans="1:51" ht="11.25" customHeight="1">
      <c r="A100" s="46"/>
      <c r="B100" s="46" t="s">
        <v>1294</v>
      </c>
      <c r="C100" s="1379" t="s">
        <v>1295</v>
      </c>
      <c r="D100" s="1379"/>
      <c r="E100" s="1389">
        <v>0</v>
      </c>
      <c r="F100" s="1390"/>
      <c r="G100" s="1391" t="s">
        <v>809</v>
      </c>
      <c r="H100" s="1392"/>
      <c r="I100" s="1392">
        <v>1</v>
      </c>
      <c r="J100" s="1392"/>
      <c r="K100" s="1393">
        <f>(E100*1000/2000*0.9072)</f>
        <v>0</v>
      </c>
      <c r="L100" s="1393"/>
      <c r="M100" s="1392">
        <v>0.86</v>
      </c>
      <c r="N100" s="1392"/>
      <c r="O100" s="1392">
        <v>0.9</v>
      </c>
      <c r="P100" s="1392"/>
      <c r="Q100" s="1392">
        <v>1.06E-2</v>
      </c>
      <c r="R100" s="1392"/>
      <c r="S100" s="1393">
        <f t="shared" si="47"/>
        <v>0</v>
      </c>
      <c r="T100" s="1394"/>
      <c r="U100" s="1392">
        <v>0.03</v>
      </c>
      <c r="V100" s="1392"/>
      <c r="W100" s="1393">
        <f t="shared" si="48"/>
        <v>0</v>
      </c>
      <c r="X100" s="46"/>
      <c r="Y100" s="46"/>
      <c r="Z100" s="1035"/>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row>
    <row r="101" spans="1:51" ht="33.75" customHeight="1">
      <c r="A101" s="46"/>
      <c r="B101" s="46" t="s">
        <v>1296</v>
      </c>
      <c r="C101" s="1379" t="s">
        <v>1292</v>
      </c>
      <c r="D101" s="1379"/>
      <c r="E101" s="1389">
        <v>0</v>
      </c>
      <c r="F101" s="1390"/>
      <c r="G101" s="1391" t="s">
        <v>809</v>
      </c>
      <c r="H101" s="1392"/>
      <c r="I101" s="1392">
        <v>2.1</v>
      </c>
      <c r="J101" s="1392"/>
      <c r="K101" s="1393">
        <f t="shared" ref="K101:K105" si="49">(E101*0.454)*100</f>
        <v>0</v>
      </c>
      <c r="L101" s="1393"/>
      <c r="M101" s="1392">
        <v>0.87</v>
      </c>
      <c r="N101" s="1392"/>
      <c r="O101" s="1392">
        <v>1.55</v>
      </c>
      <c r="P101" s="1392"/>
      <c r="Q101" s="1392">
        <v>1.6799999999999999E-2</v>
      </c>
      <c r="R101" s="1392"/>
      <c r="S101" s="1393">
        <f t="shared" si="47"/>
        <v>0</v>
      </c>
      <c r="T101" s="1394"/>
      <c r="U101" s="1392">
        <v>0.03</v>
      </c>
      <c r="V101" s="1392"/>
      <c r="W101" s="1393">
        <f t="shared" si="48"/>
        <v>0</v>
      </c>
      <c r="X101" s="46"/>
      <c r="Y101" s="46"/>
      <c r="Z101" s="1035"/>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row>
    <row r="102" spans="1:51" ht="33.75" customHeight="1">
      <c r="A102" s="46"/>
      <c r="B102" s="46" t="s">
        <v>1297</v>
      </c>
      <c r="C102" s="1379" t="s">
        <v>1292</v>
      </c>
      <c r="D102" s="1379"/>
      <c r="E102" s="1389">
        <v>0</v>
      </c>
      <c r="F102" s="1390"/>
      <c r="G102" s="1391" t="s">
        <v>809</v>
      </c>
      <c r="H102" s="1392"/>
      <c r="I102" s="1392">
        <v>1.5</v>
      </c>
      <c r="J102" s="1392"/>
      <c r="K102" s="1393">
        <f t="shared" si="49"/>
        <v>0</v>
      </c>
      <c r="L102" s="1393"/>
      <c r="M102" s="1392">
        <v>0.87</v>
      </c>
      <c r="N102" s="1392"/>
      <c r="O102" s="1392">
        <v>0.9</v>
      </c>
      <c r="P102" s="1392"/>
      <c r="Q102" s="1392">
        <v>1.6799999999999999E-2</v>
      </c>
      <c r="R102" s="1392"/>
      <c r="S102" s="1393">
        <f t="shared" si="47"/>
        <v>0</v>
      </c>
      <c r="T102" s="1394"/>
      <c r="U102" s="1392">
        <v>0.03</v>
      </c>
      <c r="V102" s="1392"/>
      <c r="W102" s="1393">
        <f t="shared" si="48"/>
        <v>0</v>
      </c>
      <c r="X102" s="46"/>
      <c r="Y102" s="46"/>
      <c r="Z102" s="1035"/>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row>
    <row r="103" spans="1:51" ht="33.75" customHeight="1">
      <c r="A103" s="46"/>
      <c r="B103" s="1395" t="s">
        <v>1298</v>
      </c>
      <c r="C103" s="1379" t="s">
        <v>1292</v>
      </c>
      <c r="D103" s="1379"/>
      <c r="E103" s="1389">
        <v>0</v>
      </c>
      <c r="F103" s="1390"/>
      <c r="G103" s="1391" t="s">
        <v>809</v>
      </c>
      <c r="H103" s="1392"/>
      <c r="I103" s="1392">
        <v>1.5</v>
      </c>
      <c r="J103" s="1392"/>
      <c r="K103" s="1393">
        <f t="shared" si="49"/>
        <v>0</v>
      </c>
      <c r="L103" s="1393"/>
      <c r="M103" s="1392">
        <v>0.87</v>
      </c>
      <c r="N103" s="1392"/>
      <c r="O103" s="1392">
        <v>0.9</v>
      </c>
      <c r="P103" s="1392"/>
      <c r="Q103" s="1392">
        <v>1.6799999999999999E-2</v>
      </c>
      <c r="R103" s="1392"/>
      <c r="S103" s="1393">
        <f t="shared" si="47"/>
        <v>0</v>
      </c>
      <c r="T103" s="1394"/>
      <c r="U103" s="1392">
        <v>0.03</v>
      </c>
      <c r="V103" s="1392"/>
      <c r="W103" s="1393">
        <f t="shared" si="48"/>
        <v>0</v>
      </c>
      <c r="X103" s="46"/>
      <c r="Y103" s="46"/>
      <c r="Z103" s="1035"/>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row>
    <row r="104" spans="1:51" ht="33.75" customHeight="1">
      <c r="A104" s="46"/>
      <c r="B104" s="1395" t="s">
        <v>1299</v>
      </c>
      <c r="C104" s="1379" t="s">
        <v>1292</v>
      </c>
      <c r="D104" s="1379"/>
      <c r="E104" s="1389">
        <v>0</v>
      </c>
      <c r="F104" s="1390"/>
      <c r="G104" s="1391" t="s">
        <v>809</v>
      </c>
      <c r="H104" s="1392"/>
      <c r="I104" s="1392">
        <v>2.1</v>
      </c>
      <c r="J104" s="1392"/>
      <c r="K104" s="1393">
        <f t="shared" si="49"/>
        <v>0</v>
      </c>
      <c r="L104" s="1393"/>
      <c r="M104" s="1392">
        <v>0.87</v>
      </c>
      <c r="N104" s="1392"/>
      <c r="O104" s="1392">
        <v>1.55</v>
      </c>
      <c r="P104" s="1392"/>
      <c r="Q104" s="1392">
        <v>1.6799999999999999E-2</v>
      </c>
      <c r="R104" s="1392"/>
      <c r="S104" s="1393">
        <f t="shared" si="47"/>
        <v>0</v>
      </c>
      <c r="T104" s="1394"/>
      <c r="U104" s="1392">
        <v>0.03</v>
      </c>
      <c r="V104" s="1392"/>
      <c r="W104" s="1393">
        <f t="shared" si="48"/>
        <v>0</v>
      </c>
      <c r="X104" s="46"/>
      <c r="Y104" s="1396"/>
      <c r="Z104" s="1035"/>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row>
    <row r="105" spans="1:51" ht="33.75" customHeight="1">
      <c r="A105" s="46"/>
      <c r="B105" s="1395" t="s">
        <v>1300</v>
      </c>
      <c r="C105" s="1379" t="s">
        <v>1292</v>
      </c>
      <c r="D105" s="1379"/>
      <c r="E105" s="1389">
        <v>0</v>
      </c>
      <c r="F105" s="1390"/>
      <c r="G105" s="1391" t="s">
        <v>809</v>
      </c>
      <c r="H105" s="1392"/>
      <c r="I105" s="1392">
        <v>1.5</v>
      </c>
      <c r="J105" s="1392"/>
      <c r="K105" s="1393">
        <f t="shared" si="49"/>
        <v>0</v>
      </c>
      <c r="L105" s="1393"/>
      <c r="M105" s="1392">
        <v>0.87</v>
      </c>
      <c r="N105" s="1392"/>
      <c r="O105" s="1392">
        <v>0.9</v>
      </c>
      <c r="P105" s="1392"/>
      <c r="Q105" s="1392">
        <v>1.6799999999999999E-2</v>
      </c>
      <c r="R105" s="1392"/>
      <c r="S105" s="1393">
        <f t="shared" si="47"/>
        <v>0</v>
      </c>
      <c r="T105" s="1394"/>
      <c r="U105" s="1392">
        <v>0.03</v>
      </c>
      <c r="V105" s="1392"/>
      <c r="W105" s="1393">
        <f t="shared" si="48"/>
        <v>0</v>
      </c>
      <c r="X105" s="46"/>
      <c r="Y105" s="1396"/>
      <c r="Z105" s="1035"/>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row>
    <row r="106" spans="1:51" ht="11.25" customHeight="1">
      <c r="A106" s="46"/>
      <c r="B106" s="1395" t="s">
        <v>1301</v>
      </c>
      <c r="C106" s="1379" t="s">
        <v>1302</v>
      </c>
      <c r="D106" s="1379"/>
      <c r="E106" s="1380"/>
      <c r="F106" s="1390"/>
      <c r="G106" s="1391" t="s">
        <v>809</v>
      </c>
      <c r="H106" s="1392"/>
      <c r="I106" s="1392"/>
      <c r="J106" s="1392"/>
      <c r="K106" s="1393">
        <f t="shared" ref="K106:K110" si="50">E106</f>
        <v>0</v>
      </c>
      <c r="L106" s="1394"/>
      <c r="M106" s="1392"/>
      <c r="N106" s="1392"/>
      <c r="O106" s="1392"/>
      <c r="P106" s="1392"/>
      <c r="Q106" s="1392"/>
      <c r="R106" s="1392"/>
      <c r="S106" s="1393" t="s">
        <v>809</v>
      </c>
      <c r="T106" s="1394"/>
      <c r="U106" s="1392">
        <v>0.03</v>
      </c>
      <c r="V106" s="1392"/>
      <c r="W106" s="1393">
        <f t="shared" si="48"/>
        <v>0</v>
      </c>
      <c r="X106" s="46"/>
      <c r="Y106" s="1396"/>
      <c r="Z106" s="1035"/>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row>
    <row r="107" spans="1:51" ht="11.25" customHeight="1">
      <c r="A107" s="46"/>
      <c r="B107" s="1395" t="s">
        <v>1303</v>
      </c>
      <c r="C107" s="1379" t="s">
        <v>1302</v>
      </c>
      <c r="D107" s="1379"/>
      <c r="E107" s="1380"/>
      <c r="F107" s="1390"/>
      <c r="G107" s="1391" t="s">
        <v>809</v>
      </c>
      <c r="H107" s="1392"/>
      <c r="I107" s="1392"/>
      <c r="J107" s="1392"/>
      <c r="K107" s="1393">
        <f t="shared" si="50"/>
        <v>0</v>
      </c>
      <c r="L107" s="1394"/>
      <c r="M107" s="1392"/>
      <c r="N107" s="1392"/>
      <c r="O107" s="1392"/>
      <c r="P107" s="1392"/>
      <c r="Q107" s="1392"/>
      <c r="R107" s="1392"/>
      <c r="S107" s="1393" t="s">
        <v>809</v>
      </c>
      <c r="T107" s="1394"/>
      <c r="U107" s="1392">
        <v>0.03</v>
      </c>
      <c r="V107" s="1392"/>
      <c r="W107" s="1393">
        <f t="shared" si="48"/>
        <v>0</v>
      </c>
      <c r="X107" s="46"/>
      <c r="Y107" s="1396"/>
      <c r="Z107" s="1035"/>
      <c r="AA107" s="46"/>
      <c r="AB107" s="46"/>
      <c r="AC107" s="46"/>
      <c r="AD107" s="46"/>
      <c r="AE107" s="46"/>
      <c r="AF107" s="46"/>
      <c r="AG107" s="46"/>
      <c r="AH107" s="46"/>
      <c r="AI107" s="46"/>
      <c r="AJ107" s="46"/>
      <c r="AK107" s="46"/>
      <c r="AL107" s="46"/>
      <c r="AM107" s="46"/>
      <c r="AN107" s="46"/>
      <c r="AO107" s="46"/>
      <c r="AP107" s="46"/>
      <c r="AQ107" s="46"/>
      <c r="AR107" s="46"/>
      <c r="AS107" s="46"/>
      <c r="AT107" s="46"/>
      <c r="AU107" s="46"/>
      <c r="AV107" s="46"/>
      <c r="AW107" s="46"/>
      <c r="AX107" s="46"/>
      <c r="AY107" s="46"/>
    </row>
    <row r="108" spans="1:51" ht="11.25" customHeight="1">
      <c r="A108" s="46"/>
      <c r="B108" s="1395" t="s">
        <v>1304</v>
      </c>
      <c r="C108" s="1379" t="s">
        <v>1302</v>
      </c>
      <c r="D108" s="1379"/>
      <c r="E108" s="1380"/>
      <c r="F108" s="1390"/>
      <c r="G108" s="1391" t="s">
        <v>809</v>
      </c>
      <c r="H108" s="1392"/>
      <c r="I108" s="1392"/>
      <c r="J108" s="1392"/>
      <c r="K108" s="1393">
        <f t="shared" si="50"/>
        <v>0</v>
      </c>
      <c r="L108" s="1394"/>
      <c r="M108" s="1392"/>
      <c r="N108" s="1392"/>
      <c r="O108" s="1392"/>
      <c r="P108" s="1392"/>
      <c r="Q108" s="1392"/>
      <c r="R108" s="1392"/>
      <c r="S108" s="1393" t="s">
        <v>809</v>
      </c>
      <c r="T108" s="1394"/>
      <c r="U108" s="1392">
        <v>0.03</v>
      </c>
      <c r="V108" s="1392"/>
      <c r="W108" s="1393">
        <f t="shared" si="48"/>
        <v>0</v>
      </c>
      <c r="X108" s="46"/>
      <c r="Y108" s="1396"/>
      <c r="Z108" s="1035"/>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row>
    <row r="109" spans="1:51" ht="11.25" customHeight="1">
      <c r="A109" s="46"/>
      <c r="B109" s="1395" t="s">
        <v>1305</v>
      </c>
      <c r="C109" s="1379" t="s">
        <v>1302</v>
      </c>
      <c r="D109" s="1379"/>
      <c r="E109" s="1380"/>
      <c r="F109" s="1390"/>
      <c r="G109" s="1391" t="s">
        <v>809</v>
      </c>
      <c r="H109" s="1392"/>
      <c r="I109" s="1392"/>
      <c r="J109" s="1392"/>
      <c r="K109" s="1393">
        <f t="shared" si="50"/>
        <v>0</v>
      </c>
      <c r="L109" s="1394"/>
      <c r="M109" s="1392"/>
      <c r="N109" s="1392"/>
      <c r="O109" s="1392"/>
      <c r="P109" s="1392"/>
      <c r="Q109" s="1392"/>
      <c r="R109" s="1392"/>
      <c r="S109" s="1393" t="s">
        <v>809</v>
      </c>
      <c r="T109" s="1394"/>
      <c r="U109" s="1392">
        <v>0.03</v>
      </c>
      <c r="V109" s="1392"/>
      <c r="W109" s="1393">
        <f t="shared" si="48"/>
        <v>0</v>
      </c>
      <c r="X109" s="46"/>
      <c r="Y109" s="1396"/>
      <c r="Z109" s="1035"/>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row>
    <row r="110" spans="1:51" ht="11.25" customHeight="1">
      <c r="A110" s="46"/>
      <c r="B110" s="1395" t="s">
        <v>1306</v>
      </c>
      <c r="C110" s="1379" t="s">
        <v>1302</v>
      </c>
      <c r="D110" s="1379"/>
      <c r="E110" s="1380"/>
      <c r="F110" s="1390"/>
      <c r="G110" s="1391" t="s">
        <v>809</v>
      </c>
      <c r="H110" s="1392"/>
      <c r="I110" s="1392"/>
      <c r="J110" s="1392"/>
      <c r="K110" s="1397">
        <f t="shared" si="50"/>
        <v>0</v>
      </c>
      <c r="L110" s="1394"/>
      <c r="M110" s="1392"/>
      <c r="N110" s="1392"/>
      <c r="O110" s="1392"/>
      <c r="P110" s="1392"/>
      <c r="Q110" s="1392"/>
      <c r="R110" s="1392"/>
      <c r="S110" s="1397" t="s">
        <v>809</v>
      </c>
      <c r="T110" s="1394"/>
      <c r="U110" s="1392">
        <v>0.03</v>
      </c>
      <c r="V110" s="1392"/>
      <c r="W110" s="1397">
        <f t="shared" si="48"/>
        <v>0</v>
      </c>
      <c r="X110" s="46"/>
      <c r="Y110" s="1396"/>
      <c r="Z110" s="1035"/>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row>
    <row r="111" spans="1:51" ht="11.25" customHeight="1">
      <c r="A111" s="46"/>
      <c r="B111" s="97" t="s">
        <v>725</v>
      </c>
      <c r="C111" s="97"/>
      <c r="D111" s="97"/>
      <c r="E111" s="46"/>
      <c r="F111" s="46"/>
      <c r="G111" s="46"/>
      <c r="H111" s="46"/>
      <c r="I111" s="46"/>
      <c r="J111" s="46"/>
      <c r="K111" s="1398">
        <f>SUM(K90:K110)</f>
        <v>2396707.0319240498</v>
      </c>
      <c r="L111" s="1399"/>
      <c r="M111" s="1307"/>
      <c r="N111" s="46"/>
      <c r="O111" s="46"/>
      <c r="P111" s="46"/>
      <c r="Q111" s="46"/>
      <c r="R111" s="46"/>
      <c r="S111" s="1398">
        <f>SUM(S90:S105)</f>
        <v>25583969.872857481</v>
      </c>
      <c r="T111" s="1400"/>
      <c r="U111" s="46"/>
      <c r="V111" s="46"/>
      <c r="W111" s="1401">
        <f>SUM(W90:W110)</f>
        <v>38422803.819912232</v>
      </c>
      <c r="X111" s="46"/>
      <c r="Y111" s="46"/>
      <c r="Z111" s="1035"/>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row>
    <row r="112" spans="1:51" ht="12" customHeight="1">
      <c r="A112" s="16"/>
      <c r="B112" s="1296"/>
      <c r="C112" s="1297"/>
      <c r="D112" s="1298"/>
      <c r="E112" s="1298"/>
      <c r="F112" s="1298"/>
      <c r="G112" s="1299"/>
      <c r="H112" s="1300"/>
      <c r="I112" s="1301"/>
      <c r="J112" s="1300"/>
      <c r="K112" s="1302"/>
      <c r="L112" s="16"/>
      <c r="M112" s="1302"/>
      <c r="N112" s="16"/>
      <c r="O112" s="16"/>
      <c r="P112" s="16"/>
      <c r="Q112" s="16"/>
      <c r="R112" s="16"/>
      <c r="S112" s="16"/>
      <c r="T112" s="16"/>
      <c r="U112" s="16"/>
    </row>
    <row r="113" spans="1:51" ht="19.5" customHeight="1">
      <c r="B113" s="1369" t="s">
        <v>1307</v>
      </c>
      <c r="C113" s="1303"/>
      <c r="D113" s="1304"/>
      <c r="E113" s="1304"/>
      <c r="F113" s="1304"/>
      <c r="G113" s="1305"/>
      <c r="H113" s="307"/>
      <c r="I113" s="1306"/>
      <c r="J113" s="307"/>
      <c r="K113" s="1307"/>
      <c r="M113" s="1307"/>
    </row>
    <row r="114" spans="1:51" ht="11.25" customHeight="1">
      <c r="A114" s="46"/>
      <c r="B114" s="1402" t="s">
        <v>1308</v>
      </c>
      <c r="C114" s="1403">
        <v>2006</v>
      </c>
      <c r="D114" s="1372"/>
      <c r="E114" s="1372"/>
      <c r="F114" s="1372"/>
      <c r="G114" s="1372"/>
      <c r="H114" s="1372"/>
      <c r="I114" s="1372"/>
      <c r="J114" s="1372"/>
      <c r="K114" s="1372"/>
      <c r="L114" s="1372"/>
      <c r="M114" s="1372"/>
      <c r="N114" s="1371"/>
      <c r="O114" s="1371"/>
      <c r="P114" s="1371"/>
      <c r="Q114" s="1371"/>
      <c r="R114" s="1371"/>
      <c r="S114" s="1371"/>
      <c r="T114" s="1371"/>
      <c r="U114" s="1371"/>
      <c r="V114" s="1371"/>
      <c r="W114" s="1371"/>
      <c r="X114" s="1371"/>
      <c r="Y114" s="1371"/>
      <c r="Z114" s="1371"/>
      <c r="AA114" s="1371"/>
      <c r="AB114" s="1371"/>
      <c r="AC114" s="1371"/>
      <c r="AD114" s="1371"/>
      <c r="AE114" s="1187"/>
      <c r="AF114" s="46"/>
      <c r="AG114" s="46"/>
      <c r="AH114" s="46"/>
      <c r="AI114" s="46"/>
      <c r="AJ114" s="46"/>
      <c r="AK114" s="46"/>
      <c r="AL114" s="46"/>
      <c r="AM114" s="46"/>
      <c r="AN114" s="46"/>
      <c r="AO114" s="46"/>
      <c r="AP114" s="46"/>
      <c r="AQ114" s="46"/>
      <c r="AR114" s="46"/>
      <c r="AS114" s="46"/>
      <c r="AT114" s="46"/>
      <c r="AU114" s="46"/>
      <c r="AV114" s="46"/>
      <c r="AW114" s="46"/>
      <c r="AX114" s="46"/>
      <c r="AY114" s="46"/>
    </row>
    <row r="115" spans="1:51" ht="47.25" customHeight="1">
      <c r="A115" s="1218"/>
      <c r="B115" s="1404" t="s">
        <v>1309</v>
      </c>
      <c r="C115" s="1405" t="s">
        <v>1310</v>
      </c>
      <c r="D115" s="1405"/>
      <c r="E115" s="1405" t="s">
        <v>1311</v>
      </c>
      <c r="F115" s="1405"/>
      <c r="G115" s="1219" t="s">
        <v>1312</v>
      </c>
      <c r="H115" s="1218"/>
      <c r="I115" s="1378" t="s">
        <v>1313</v>
      </c>
      <c r="J115" s="1218"/>
      <c r="K115" s="1405" t="s">
        <v>1314</v>
      </c>
      <c r="L115" s="1405"/>
      <c r="M115" s="1405" t="s">
        <v>1315</v>
      </c>
      <c r="N115" s="1405"/>
      <c r="O115" s="1219" t="s">
        <v>1316</v>
      </c>
      <c r="P115" s="1405"/>
      <c r="Q115" s="1219" t="s">
        <v>1317</v>
      </c>
      <c r="R115" s="1406"/>
      <c r="S115" s="1407" t="s">
        <v>1318</v>
      </c>
      <c r="T115" s="1406"/>
      <c r="U115" s="1407" t="s">
        <v>1319</v>
      </c>
      <c r="V115" s="1406"/>
      <c r="W115" s="1219" t="s">
        <v>1320</v>
      </c>
      <c r="X115" s="1218"/>
      <c r="Y115" s="1219" t="s">
        <v>1321</v>
      </c>
      <c r="Z115" s="1218"/>
      <c r="AA115" s="1218"/>
      <c r="AB115" s="1218"/>
      <c r="AC115" s="1218"/>
      <c r="AD115" s="1218"/>
      <c r="AE115" s="1218"/>
      <c r="AF115" s="1218"/>
      <c r="AG115" s="1218"/>
      <c r="AH115" s="1218"/>
      <c r="AI115" s="1218"/>
      <c r="AJ115" s="1218"/>
      <c r="AK115" s="1218"/>
      <c r="AL115" s="1218"/>
      <c r="AM115" s="1218"/>
      <c r="AN115" s="1218"/>
      <c r="AO115" s="1218"/>
      <c r="AP115" s="1218"/>
      <c r="AQ115" s="1218"/>
      <c r="AR115" s="1218"/>
      <c r="AS115" s="1218"/>
      <c r="AT115" s="1218"/>
      <c r="AU115" s="1218"/>
      <c r="AV115" s="1218"/>
      <c r="AW115" s="1218"/>
      <c r="AX115" s="1218"/>
      <c r="AY115" s="1218"/>
    </row>
    <row r="116" spans="1:51" ht="12" customHeight="1">
      <c r="A116" s="46"/>
      <c r="B116" s="1408" t="s">
        <v>1322</v>
      </c>
      <c r="C116" s="1409">
        <v>49456900.012091137</v>
      </c>
      <c r="D116" s="1034"/>
      <c r="E116" s="1410">
        <f>$C116*0.65+$C132*0.35</f>
        <v>51202458.01237797</v>
      </c>
      <c r="F116" s="1034"/>
      <c r="G116" s="1411">
        <v>0.1</v>
      </c>
      <c r="H116" s="46"/>
      <c r="I116" s="46"/>
      <c r="J116" s="46"/>
      <c r="K116" s="1412">
        <f>($E116*(1-G116))</f>
        <v>46082212.211140171</v>
      </c>
      <c r="L116" s="1413"/>
      <c r="M116" s="1414">
        <v>5120245.8012377974</v>
      </c>
      <c r="N116" s="1415"/>
      <c r="O116" s="1416">
        <f>(K116+K117)/1000*0.01*44/28</f>
        <v>724.45278594706372</v>
      </c>
      <c r="P116" s="1415"/>
      <c r="Q116" s="1416">
        <f>(M116+M117)/1000*0.01*44/28</f>
        <v>80.53693967673783</v>
      </c>
      <c r="R116" s="1376"/>
      <c r="S116" s="1417">
        <f>O116*$Z$8*12/44*10^-6</f>
        <v>5.2358178620719606E-2</v>
      </c>
      <c r="T116" s="1418"/>
      <c r="U116" s="1417">
        <f>Q116*310*12/44*10^-6</f>
        <v>6.8090321726696533E-3</v>
      </c>
      <c r="V116" s="1376"/>
      <c r="W116" s="1388">
        <f>S116/(12/44)</f>
        <v>0.1919799882759719</v>
      </c>
      <c r="X116" s="46"/>
      <c r="Y116" s="1388">
        <f>U116/(12/44)</f>
        <v>2.4966451299788729E-2</v>
      </c>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row>
    <row r="117" spans="1:51" ht="11.25" customHeight="1">
      <c r="A117" s="46"/>
      <c r="B117" s="1408" t="s">
        <v>1323</v>
      </c>
      <c r="C117" s="1419">
        <v>572099.98790886719</v>
      </c>
      <c r="D117" s="1203"/>
      <c r="E117" s="1410">
        <f>SUM(E118:E124)</f>
        <v>592291.9876220352</v>
      </c>
      <c r="F117" s="1203"/>
      <c r="G117" s="1411">
        <v>0.2</v>
      </c>
      <c r="H117" s="46"/>
      <c r="I117" s="46">
        <v>4.1000000000000002E-2</v>
      </c>
      <c r="J117" s="46"/>
      <c r="K117" s="1412">
        <f>$E126*I117*(1-G117)</f>
        <v>19328.712763893323</v>
      </c>
      <c r="L117" s="1413"/>
      <c r="M117" s="1414">
        <v>4832.1781909733309</v>
      </c>
      <c r="N117" s="1415"/>
      <c r="O117" s="1415"/>
      <c r="P117" s="1415"/>
      <c r="Q117" s="1415"/>
      <c r="R117" s="1376"/>
      <c r="S117" s="1376"/>
      <c r="T117" s="1376"/>
      <c r="U117" s="1376"/>
      <c r="V117" s="1376"/>
      <c r="W117" s="137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row>
    <row r="118" spans="1:51" ht="11.25" customHeight="1">
      <c r="A118" s="46"/>
      <c r="B118" s="1420" t="s">
        <v>1324</v>
      </c>
      <c r="C118" s="1409"/>
      <c r="D118" s="1034"/>
      <c r="E118" s="1410">
        <f t="shared" ref="E118:E124" si="51">$C118*0.65+$C134*0.35</f>
        <v>0</v>
      </c>
      <c r="F118" s="1034"/>
      <c r="G118" s="1203"/>
      <c r="H118" s="1034"/>
      <c r="I118" s="46"/>
      <c r="J118" s="46"/>
      <c r="K118" s="1203"/>
      <c r="L118" s="1203"/>
      <c r="M118" s="1203"/>
      <c r="N118" s="1203"/>
      <c r="O118" s="1203"/>
      <c r="P118" s="1187"/>
      <c r="Q118" s="1187"/>
      <c r="R118" s="1187"/>
      <c r="S118" s="1187"/>
      <c r="T118" s="1187"/>
      <c r="U118" s="1187"/>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row>
    <row r="119" spans="1:51" ht="11.25" customHeight="1">
      <c r="A119" s="46"/>
      <c r="B119" s="1420" t="s">
        <v>1325</v>
      </c>
      <c r="C119" s="1409"/>
      <c r="D119" s="1034"/>
      <c r="E119" s="1410">
        <f t="shared" si="51"/>
        <v>0</v>
      </c>
      <c r="F119" s="1034"/>
      <c r="G119" s="1034"/>
      <c r="H119" s="1034"/>
      <c r="I119" s="1203"/>
      <c r="J119" s="1203"/>
      <c r="K119" s="1203"/>
      <c r="L119" s="1203"/>
      <c r="M119" s="1203"/>
      <c r="N119" s="1187"/>
      <c r="O119" s="1187"/>
      <c r="P119" s="1187"/>
      <c r="Q119" s="1187"/>
      <c r="R119" s="1187"/>
      <c r="S119" s="1187"/>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row>
    <row r="120" spans="1:51" ht="11.25" customHeight="1">
      <c r="A120" s="46"/>
      <c r="B120" s="1420" t="s">
        <v>1326</v>
      </c>
      <c r="C120" s="1409">
        <v>2899.6234868568599</v>
      </c>
      <c r="D120" s="1034"/>
      <c r="E120" s="1410">
        <f t="shared" si="51"/>
        <v>3001.9643326046762</v>
      </c>
      <c r="F120" s="1034"/>
      <c r="G120" s="1034"/>
      <c r="H120" s="1034"/>
      <c r="I120" s="1203"/>
      <c r="J120" s="1203"/>
      <c r="K120" s="1203"/>
      <c r="L120" s="1203"/>
      <c r="M120" s="1203"/>
      <c r="N120" s="1187"/>
      <c r="O120" s="1187"/>
      <c r="P120" s="1187"/>
      <c r="Q120" s="1187"/>
      <c r="R120" s="1187"/>
      <c r="S120" s="1187"/>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row>
    <row r="121" spans="1:51" ht="11.25" customHeight="1">
      <c r="A121" s="46"/>
      <c r="B121" s="1420" t="s">
        <v>1327</v>
      </c>
      <c r="C121" s="1409">
        <v>494982.34741945093</v>
      </c>
      <c r="D121" s="1034"/>
      <c r="E121" s="1410">
        <f t="shared" si="51"/>
        <v>512452.51632060623</v>
      </c>
      <c r="F121" s="1034"/>
      <c r="G121" s="1034"/>
      <c r="H121" s="1034"/>
      <c r="I121" s="1203"/>
      <c r="J121" s="1203"/>
      <c r="K121" s="1203"/>
      <c r="L121" s="1203"/>
      <c r="M121" s="1203"/>
      <c r="N121" s="1187"/>
      <c r="O121" s="1187"/>
      <c r="P121" s="1187"/>
      <c r="Q121" s="1187"/>
      <c r="R121" s="1187"/>
      <c r="S121" s="1187"/>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row>
    <row r="122" spans="1:51" ht="11.25" customHeight="1">
      <c r="A122" s="46"/>
      <c r="B122" s="1420" t="s">
        <v>1328</v>
      </c>
      <c r="C122" s="1409"/>
      <c r="D122" s="1034"/>
      <c r="E122" s="1410">
        <f t="shared" si="51"/>
        <v>0</v>
      </c>
      <c r="F122" s="1034"/>
      <c r="G122" s="1034"/>
      <c r="H122" s="1034"/>
      <c r="I122" s="1203"/>
      <c r="J122" s="1203"/>
      <c r="K122" s="1203"/>
      <c r="L122" s="1203"/>
      <c r="M122" s="1203"/>
      <c r="N122" s="1187"/>
      <c r="O122" s="1187"/>
      <c r="P122" s="1187"/>
      <c r="Q122" s="1187"/>
      <c r="R122" s="1187"/>
      <c r="S122" s="1187"/>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row>
    <row r="123" spans="1:51" ht="11.25" customHeight="1">
      <c r="A123" s="46"/>
      <c r="B123" s="1420" t="s">
        <v>1329</v>
      </c>
      <c r="C123" s="1409"/>
      <c r="D123" s="1034"/>
      <c r="E123" s="1410">
        <f t="shared" si="51"/>
        <v>0</v>
      </c>
      <c r="F123" s="1034"/>
      <c r="G123" s="1034"/>
      <c r="H123" s="1034"/>
      <c r="I123" s="1203"/>
      <c r="J123" s="1203"/>
      <c r="K123" s="1203"/>
      <c r="L123" s="1203"/>
      <c r="M123" s="1203"/>
      <c r="N123" s="1187"/>
      <c r="O123" s="1187"/>
      <c r="P123" s="1187"/>
      <c r="Q123" s="1187"/>
      <c r="R123" s="1187"/>
      <c r="S123" s="1187"/>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row>
    <row r="124" spans="1:51" ht="11.25" customHeight="1">
      <c r="A124" s="46"/>
      <c r="B124" s="1420" t="s">
        <v>1330</v>
      </c>
      <c r="C124" s="1409">
        <v>74218.017002559413</v>
      </c>
      <c r="D124" s="1034"/>
      <c r="E124" s="1410">
        <f t="shared" si="51"/>
        <v>76837.506968824368</v>
      </c>
      <c r="F124" s="1034"/>
      <c r="G124" s="1034"/>
      <c r="H124" s="1034"/>
      <c r="I124" s="1203"/>
      <c r="J124" s="1411"/>
      <c r="K124" s="1203"/>
      <c r="L124" s="1203"/>
      <c r="M124" s="1203"/>
      <c r="N124" s="1187"/>
      <c r="O124" s="1187"/>
      <c r="P124" s="1187"/>
      <c r="Q124" s="1187"/>
      <c r="R124" s="1187"/>
      <c r="S124" s="1187"/>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row>
    <row r="125" spans="1:51" ht="11.25" customHeight="1">
      <c r="A125" s="46"/>
      <c r="B125" s="1421" t="s">
        <v>1331</v>
      </c>
      <c r="C125" s="1422">
        <v>5.0683858558632873E-3</v>
      </c>
      <c r="D125" s="1034"/>
      <c r="E125" s="1423">
        <f>IF(E117=0,0,E120/E117)</f>
        <v>5.0683858558632873E-3</v>
      </c>
      <c r="F125" s="1034"/>
      <c r="G125" s="1034"/>
      <c r="H125" s="1034"/>
      <c r="I125" s="1034"/>
      <c r="J125" s="1034"/>
      <c r="K125" s="1034"/>
      <c r="L125" s="1034"/>
      <c r="M125" s="1034"/>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row>
    <row r="126" spans="1:51" ht="11.25" customHeight="1">
      <c r="A126" s="46"/>
      <c r="B126" s="1421" t="s">
        <v>1332</v>
      </c>
      <c r="C126" s="1424">
        <v>569200.36442201026</v>
      </c>
      <c r="D126" s="1034"/>
      <c r="E126" s="1425">
        <f>E117*(1-E125)</f>
        <v>589290.02328943054</v>
      </c>
      <c r="F126" s="1034"/>
      <c r="G126" s="1034"/>
      <c r="H126" s="1034"/>
      <c r="I126" s="1034"/>
      <c r="J126" s="1034"/>
      <c r="K126" s="1034"/>
      <c r="L126" s="1034"/>
      <c r="M126" s="1034"/>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row>
    <row r="127" spans="1:51" ht="11.25" customHeight="1">
      <c r="A127" s="46"/>
      <c r="B127" s="1421" t="s">
        <v>1333</v>
      </c>
      <c r="C127" s="1424">
        <v>2899.6234868568599</v>
      </c>
      <c r="D127" s="1034"/>
      <c r="E127" s="1424">
        <f>E117*E125</f>
        <v>3001.9643326046767</v>
      </c>
      <c r="F127" s="1034"/>
      <c r="G127" s="1034"/>
      <c r="H127" s="1034"/>
      <c r="I127" s="1034"/>
      <c r="J127" s="1034"/>
      <c r="K127" s="1034"/>
      <c r="L127" s="1034"/>
      <c r="M127" s="1034"/>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row>
    <row r="128" spans="1:51" ht="11.25" customHeight="1">
      <c r="A128" s="46"/>
      <c r="B128" s="46"/>
      <c r="C128" s="1034"/>
      <c r="D128" s="1034"/>
      <c r="E128" s="1034"/>
      <c r="F128" s="1034"/>
      <c r="G128" s="1034"/>
      <c r="H128" s="1034"/>
      <c r="I128" s="1034"/>
      <c r="J128" s="1034"/>
      <c r="K128" s="1034"/>
      <c r="L128" s="1034"/>
      <c r="M128" s="1034"/>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row>
    <row r="129" spans="1:54" ht="11.25"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row>
    <row r="130" spans="1:54" ht="11.25" customHeight="1">
      <c r="A130" s="46"/>
      <c r="B130" s="1402" t="s">
        <v>1308</v>
      </c>
      <c r="C130" s="1403">
        <v>2007</v>
      </c>
      <c r="D130" s="1187"/>
      <c r="E130" s="1187"/>
      <c r="F130" s="1187"/>
      <c r="G130" s="1187"/>
      <c r="H130" s="1187"/>
      <c r="I130" s="1187"/>
      <c r="J130" s="1187"/>
      <c r="K130" s="1187"/>
      <c r="L130" s="1187"/>
      <c r="M130" s="1187"/>
      <c r="N130" s="1187"/>
      <c r="O130" s="1187"/>
      <c r="P130" s="1187"/>
      <c r="Q130" s="1187"/>
      <c r="R130" s="1187"/>
      <c r="S130" s="1187"/>
      <c r="T130" s="1187"/>
      <c r="U130" s="1187"/>
      <c r="V130" s="1187"/>
      <c r="W130" s="1187"/>
      <c r="X130" s="1187"/>
      <c r="Y130" s="1187"/>
      <c r="Z130" s="1187"/>
      <c r="AA130" s="1187"/>
      <c r="AB130" s="1187"/>
      <c r="AC130" s="1187"/>
      <c r="AD130" s="1187"/>
      <c r="AE130" s="1187"/>
      <c r="AF130" s="46"/>
      <c r="AG130" s="46"/>
      <c r="AH130" s="46"/>
      <c r="AI130" s="46"/>
      <c r="AJ130" s="46"/>
      <c r="AK130" s="46"/>
      <c r="AL130" s="46"/>
      <c r="AM130" s="46"/>
      <c r="AN130" s="46"/>
      <c r="AO130" s="46"/>
      <c r="AP130" s="46"/>
      <c r="AQ130" s="46"/>
      <c r="AR130" s="46"/>
      <c r="AS130" s="46"/>
      <c r="AT130" s="46"/>
      <c r="AU130" s="46"/>
      <c r="AV130" s="46"/>
      <c r="AW130" s="46"/>
      <c r="AX130" s="46"/>
      <c r="AY130" s="46"/>
    </row>
    <row r="131" spans="1:54" ht="33.75" customHeight="1">
      <c r="A131" s="1218"/>
      <c r="B131" s="1404" t="s">
        <v>1309</v>
      </c>
      <c r="C131" s="1405" t="s">
        <v>1334</v>
      </c>
      <c r="D131" s="1405"/>
      <c r="E131" s="142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6"/>
      <c r="AW131" s="46"/>
      <c r="AX131" s="46"/>
      <c r="AY131" s="46"/>
    </row>
    <row r="132" spans="1:54" ht="11.25" customHeight="1">
      <c r="A132" s="46"/>
      <c r="B132" s="1408" t="s">
        <v>1322</v>
      </c>
      <c r="C132" s="1409">
        <v>54444208.584339224</v>
      </c>
      <c r="D132" s="1034"/>
      <c r="E132" s="1034"/>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row>
    <row r="133" spans="1:54" ht="11.25" customHeight="1">
      <c r="A133" s="46"/>
      <c r="B133" s="1408" t="s">
        <v>1323</v>
      </c>
      <c r="C133" s="1419">
        <v>629791.41566077585</v>
      </c>
      <c r="D133" s="1203"/>
      <c r="E133" s="1203"/>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row>
    <row r="134" spans="1:54" ht="11.25" customHeight="1">
      <c r="A134" s="46"/>
      <c r="B134" s="1420" t="s">
        <v>1324</v>
      </c>
      <c r="C134" s="1409"/>
      <c r="D134" s="1034"/>
      <c r="E134" s="1034"/>
      <c r="F134" s="1034"/>
      <c r="G134" s="1034"/>
      <c r="H134" s="1203"/>
      <c r="I134" s="1203"/>
      <c r="J134" s="1203"/>
      <c r="K134" s="1203"/>
      <c r="L134" s="1203"/>
      <c r="M134" s="1187"/>
      <c r="N134" s="1187"/>
      <c r="O134" s="1187"/>
      <c r="P134" s="1187"/>
      <c r="Q134" s="1187"/>
      <c r="R134" s="1187"/>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row>
    <row r="135" spans="1:54" ht="11.25" customHeight="1">
      <c r="A135" s="46"/>
      <c r="B135" s="1420" t="s">
        <v>1325</v>
      </c>
      <c r="C135" s="1409"/>
      <c r="D135" s="1034"/>
      <c r="E135" s="1034"/>
      <c r="F135" s="1034"/>
      <c r="G135" s="1034"/>
      <c r="H135" s="1203"/>
      <c r="I135" s="1203"/>
      <c r="J135" s="1203"/>
      <c r="K135" s="1203"/>
      <c r="L135" s="1203"/>
      <c r="M135" s="1187"/>
      <c r="N135" s="1187"/>
      <c r="O135" s="1187"/>
      <c r="P135" s="1187"/>
      <c r="Q135" s="1187"/>
      <c r="R135" s="1187"/>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row>
    <row r="136" spans="1:54" ht="11.25" customHeight="1">
      <c r="A136" s="46"/>
      <c r="B136" s="1420" t="s">
        <v>1326</v>
      </c>
      <c r="C136" s="1409">
        <v>3192.0259032791919</v>
      </c>
      <c r="D136" s="1034"/>
      <c r="E136" s="1034"/>
      <c r="F136" s="1034"/>
      <c r="G136" s="1034"/>
      <c r="H136" s="1203"/>
      <c r="I136" s="1203"/>
      <c r="J136" s="1203"/>
      <c r="K136" s="1203"/>
      <c r="L136" s="1203"/>
      <c r="M136" s="1187"/>
      <c r="N136" s="1187"/>
      <c r="O136" s="1187"/>
      <c r="P136" s="1187"/>
      <c r="Q136" s="1187"/>
      <c r="R136" s="1187"/>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row>
    <row r="137" spans="1:54" ht="11.25" customHeight="1">
      <c r="A137" s="46"/>
      <c r="B137" s="1420" t="s">
        <v>1327</v>
      </c>
      <c r="C137" s="1409">
        <v>544897.11570846592</v>
      </c>
      <c r="D137" s="1034"/>
      <c r="E137" s="1034"/>
      <c r="F137" s="1034"/>
      <c r="G137" s="1034"/>
      <c r="H137" s="1203"/>
      <c r="I137" s="1203"/>
      <c r="J137" s="1203"/>
      <c r="K137" s="1203"/>
      <c r="L137" s="1203"/>
      <c r="M137" s="1187"/>
      <c r="N137" s="1187"/>
      <c r="O137" s="1187"/>
      <c r="P137" s="1187"/>
      <c r="Q137" s="1187"/>
      <c r="R137" s="1187"/>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row>
    <row r="138" spans="1:54" ht="11.25" customHeight="1">
      <c r="A138" s="46"/>
      <c r="B138" s="1420" t="s">
        <v>1328</v>
      </c>
      <c r="C138" s="1409"/>
      <c r="D138" s="1034"/>
      <c r="E138" s="1034"/>
      <c r="F138" s="1034"/>
      <c r="G138" s="1034"/>
      <c r="H138" s="1203"/>
      <c r="I138" s="1203"/>
      <c r="J138" s="1203"/>
      <c r="K138" s="1203"/>
      <c r="L138" s="1203"/>
      <c r="M138" s="1187"/>
      <c r="N138" s="1187"/>
      <c r="O138" s="1187"/>
      <c r="P138" s="1187"/>
      <c r="Q138" s="1187"/>
      <c r="R138" s="1187"/>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row>
    <row r="139" spans="1:54" ht="11.25" customHeight="1">
      <c r="A139" s="46"/>
      <c r="B139" s="1420" t="s">
        <v>1329</v>
      </c>
      <c r="C139" s="1409"/>
      <c r="D139" s="1034"/>
      <c r="E139" s="1034"/>
      <c r="F139" s="1034"/>
      <c r="G139" s="1034"/>
      <c r="H139" s="1203"/>
      <c r="I139" s="1203"/>
      <c r="J139" s="1203"/>
      <c r="K139" s="1203"/>
      <c r="L139" s="1203"/>
      <c r="M139" s="1187"/>
      <c r="N139" s="1187"/>
      <c r="O139" s="1187"/>
      <c r="P139" s="1187"/>
      <c r="Q139" s="1187"/>
      <c r="R139" s="1187"/>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row>
    <row r="140" spans="1:54" ht="11.25" customHeight="1">
      <c r="A140" s="46"/>
      <c r="B140" s="1420" t="s">
        <v>1330</v>
      </c>
      <c r="C140" s="1409">
        <v>81702.274049030704</v>
      </c>
      <c r="D140" s="1034"/>
      <c r="E140" s="1034"/>
      <c r="F140" s="1034"/>
      <c r="G140" s="1034"/>
      <c r="H140" s="1203"/>
      <c r="I140" s="1411"/>
      <c r="J140" s="1203"/>
      <c r="K140" s="1203"/>
      <c r="L140" s="1203"/>
      <c r="M140" s="1187"/>
      <c r="N140" s="1187"/>
      <c r="O140" s="1187"/>
      <c r="P140" s="1187"/>
      <c r="Q140" s="1187"/>
      <c r="R140" s="1187"/>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row>
    <row r="141" spans="1:54" ht="11.25" customHeight="1">
      <c r="A141" s="46"/>
      <c r="B141" s="1421" t="s">
        <v>1331</v>
      </c>
      <c r="C141" s="1422">
        <v>5.0683858558632864E-3</v>
      </c>
      <c r="D141" s="1034"/>
      <c r="E141" s="1034"/>
      <c r="F141" s="1034"/>
      <c r="G141" s="1034"/>
      <c r="H141" s="1034"/>
      <c r="I141" s="1034"/>
      <c r="J141" s="1034"/>
      <c r="K141" s="1034"/>
      <c r="L141" s="1034"/>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row>
    <row r="142" spans="1:54" ht="11.25" customHeight="1">
      <c r="A142" s="46"/>
      <c r="B142" s="1421" t="s">
        <v>1332</v>
      </c>
      <c r="C142" s="1424">
        <v>626599.38975749665</v>
      </c>
      <c r="D142" s="1034"/>
      <c r="E142" s="1034"/>
      <c r="F142" s="1034"/>
      <c r="G142" s="1034"/>
      <c r="H142" s="1034"/>
      <c r="I142" s="1034"/>
      <c r="J142" s="1034"/>
      <c r="K142" s="1034"/>
      <c r="L142" s="1034"/>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row>
    <row r="143" spans="1:54" ht="11.25" customHeight="1">
      <c r="A143" s="46"/>
      <c r="B143" s="1421" t="s">
        <v>1333</v>
      </c>
      <c r="C143" s="1424">
        <v>3192.0259032791923</v>
      </c>
      <c r="D143" s="1034"/>
      <c r="E143" s="1034"/>
      <c r="F143" s="1034"/>
      <c r="G143" s="1034"/>
      <c r="H143" s="1034"/>
      <c r="I143" s="1034"/>
      <c r="J143" s="1034"/>
      <c r="K143" s="1034"/>
      <c r="L143" s="1034"/>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row>
    <row r="144" spans="1:54" ht="12" customHeight="1">
      <c r="A144" s="16"/>
      <c r="B144" s="1296"/>
      <c r="C144" s="1297"/>
      <c r="D144" s="1298"/>
      <c r="E144" s="1298"/>
      <c r="F144" s="1298"/>
      <c r="G144" s="1299"/>
      <c r="H144" s="1300"/>
      <c r="I144" s="1301"/>
      <c r="J144" s="1300"/>
      <c r="K144" s="1302"/>
      <c r="L144" s="16"/>
      <c r="M144" s="1302"/>
      <c r="N144" s="16"/>
      <c r="O144" s="16"/>
      <c r="P144" s="16"/>
      <c r="Q144" s="16"/>
      <c r="R144" s="16"/>
      <c r="S144" s="16"/>
      <c r="T144" s="16"/>
      <c r="U144" s="16"/>
    </row>
    <row r="145" spans="1:81" ht="19.5" customHeight="1">
      <c r="B145" s="1369" t="s">
        <v>1335</v>
      </c>
      <c r="C145" s="1303"/>
      <c r="D145" s="1304"/>
      <c r="E145" s="1304"/>
      <c r="F145" s="1304"/>
      <c r="G145" s="1427"/>
      <c r="H145" s="307"/>
      <c r="I145" s="1306"/>
      <c r="J145" s="307"/>
      <c r="K145" s="1307"/>
      <c r="M145" s="1307"/>
      <c r="AH145" s="1250" t="s">
        <v>1336</v>
      </c>
    </row>
    <row r="146" spans="1:81" ht="11.25" customHeight="1">
      <c r="A146" s="46"/>
      <c r="B146" s="1420"/>
      <c r="C146" s="1034"/>
      <c r="D146" s="1187"/>
      <c r="E146" s="46"/>
      <c r="F146" s="46"/>
      <c r="G146" s="46"/>
      <c r="H146" s="46"/>
      <c r="I146" s="1187"/>
      <c r="J146" s="1187"/>
      <c r="K146" s="46"/>
      <c r="L146" s="46"/>
      <c r="M146" s="1241" t="s">
        <v>1337</v>
      </c>
      <c r="N146" s="1241"/>
      <c r="O146" s="1241"/>
      <c r="P146" s="1241"/>
      <c r="Q146" s="1241"/>
      <c r="R146" s="46"/>
      <c r="S146" s="1241" t="s">
        <v>1338</v>
      </c>
      <c r="T146" s="1241"/>
      <c r="U146" s="1241"/>
      <c r="V146" s="46"/>
      <c r="W146" s="46"/>
      <c r="X146" s="46"/>
      <c r="Y146" s="46"/>
      <c r="Z146" s="46"/>
      <c r="AA146" s="46"/>
      <c r="AB146" s="46"/>
      <c r="AC146" s="46"/>
      <c r="AD146" s="46"/>
      <c r="AE146" s="46"/>
      <c r="AF146" s="46"/>
      <c r="AG146" s="46"/>
      <c r="AH146" s="1428" t="s">
        <v>1339</v>
      </c>
      <c r="AI146" s="46"/>
      <c r="AJ146" s="46"/>
      <c r="AK146" s="46"/>
      <c r="AL146" s="46"/>
      <c r="AM146" s="46"/>
      <c r="AN146" s="46"/>
      <c r="AO146" s="46"/>
      <c r="AP146" s="46"/>
      <c r="AQ146" s="46"/>
      <c r="AR146" s="46"/>
      <c r="AS146" s="46"/>
      <c r="AT146" s="46"/>
      <c r="AU146" s="46"/>
      <c r="AV146" s="46"/>
      <c r="AW146" s="46"/>
      <c r="AX146" s="46"/>
      <c r="AY146" s="46"/>
      <c r="AZ146" s="46"/>
      <c r="BA146" s="46"/>
      <c r="BB146" s="46"/>
    </row>
    <row r="147" spans="1:81" ht="58.5" customHeight="1">
      <c r="A147" s="46"/>
      <c r="B147" s="1376"/>
      <c r="C147" s="1426" t="s">
        <v>1340</v>
      </c>
      <c r="D147" s="1182"/>
      <c r="E147" s="1182" t="s">
        <v>1341</v>
      </c>
      <c r="F147" s="46"/>
      <c r="G147" s="1182" t="s">
        <v>1342</v>
      </c>
      <c r="H147" s="46"/>
      <c r="I147" s="1182" t="s">
        <v>1343</v>
      </c>
      <c r="J147" s="1376"/>
      <c r="K147" s="1182" t="s">
        <v>1344</v>
      </c>
      <c r="L147" s="1376"/>
      <c r="M147" s="1182" t="s">
        <v>1345</v>
      </c>
      <c r="N147" s="1182"/>
      <c r="O147" s="1182" t="s">
        <v>1346</v>
      </c>
      <c r="P147" s="1182"/>
      <c r="Q147" s="1182" t="s">
        <v>1347</v>
      </c>
      <c r="R147" s="1376"/>
      <c r="S147" s="1182" t="s">
        <v>1348</v>
      </c>
      <c r="T147" s="1182"/>
      <c r="U147" s="1182" t="s">
        <v>1349</v>
      </c>
      <c r="V147" s="1376"/>
      <c r="W147" s="1182" t="s">
        <v>1350</v>
      </c>
      <c r="X147" s="1376"/>
      <c r="Y147" s="1376"/>
      <c r="Z147" s="46"/>
      <c r="AA147" s="46"/>
      <c r="AB147" s="46"/>
      <c r="AC147" s="46"/>
      <c r="AD147" s="46"/>
      <c r="AE147" s="46"/>
      <c r="AF147" s="46"/>
      <c r="AG147" s="46"/>
      <c r="AH147" s="1729" t="s">
        <v>1351</v>
      </c>
      <c r="AI147" s="1681"/>
      <c r="AJ147" s="1681"/>
      <c r="AK147" s="1681"/>
      <c r="AL147" s="1681"/>
      <c r="AM147" s="1681"/>
      <c r="AN147" s="1681"/>
      <c r="AO147" s="232"/>
      <c r="AP147" s="1729" t="s">
        <v>1352</v>
      </c>
      <c r="AQ147" s="1681"/>
      <c r="AR147" s="1681"/>
      <c r="AS147" s="1681"/>
      <c r="AT147" s="232"/>
      <c r="AU147" s="1729" t="s">
        <v>1353</v>
      </c>
      <c r="AV147" s="1681"/>
      <c r="AW147" s="232"/>
      <c r="AX147" s="1729" t="s">
        <v>1354</v>
      </c>
      <c r="AY147" s="1681"/>
      <c r="AZ147" s="232"/>
      <c r="BA147" s="1730" t="s">
        <v>1225</v>
      </c>
      <c r="BB147" s="1660"/>
      <c r="BC147" s="1660"/>
      <c r="BD147" s="1660"/>
      <c r="BE147" s="1660"/>
      <c r="BF147" s="1660"/>
      <c r="BG147" s="14"/>
      <c r="BH147" s="1730" t="s">
        <v>1245</v>
      </c>
      <c r="BI147" s="1660"/>
      <c r="BJ147" s="1660"/>
      <c r="BK147" s="1660"/>
      <c r="BL147" s="1660"/>
      <c r="BM147" s="14"/>
      <c r="BN147" s="1731" t="s">
        <v>1249</v>
      </c>
      <c r="BO147" s="1681"/>
      <c r="BP147" s="1429"/>
      <c r="BQ147" s="1732" t="s">
        <v>1250</v>
      </c>
      <c r="BR147" s="1660"/>
      <c r="BS147" s="1660"/>
      <c r="BT147" s="14"/>
      <c r="BU147" s="1731" t="s">
        <v>1223</v>
      </c>
      <c r="BV147" s="1681"/>
      <c r="BW147" s="1681"/>
      <c r="BX147" s="1429"/>
      <c r="BY147" s="1731" t="s">
        <v>1224</v>
      </c>
      <c r="BZ147" s="1681"/>
      <c r="CA147" s="14"/>
      <c r="CB147" s="1725" t="s">
        <v>1226</v>
      </c>
      <c r="CC147" s="1726"/>
    </row>
    <row r="148" spans="1:81" ht="34.5" customHeight="1">
      <c r="A148" s="46"/>
      <c r="B148" s="97" t="s">
        <v>1210</v>
      </c>
      <c r="C148" s="1426"/>
      <c r="D148" s="1219"/>
      <c r="E148" s="46"/>
      <c r="F148" s="46"/>
      <c r="G148" s="46"/>
      <c r="H148" s="46"/>
      <c r="I148" s="1182"/>
      <c r="J148" s="1376"/>
      <c r="K148" s="1182"/>
      <c r="L148" s="1376"/>
      <c r="M148" s="1420"/>
      <c r="N148" s="1420"/>
      <c r="O148" s="1376"/>
      <c r="P148" s="1376"/>
      <c r="Q148" s="1376"/>
      <c r="R148" s="1376"/>
      <c r="S148" s="1420"/>
      <c r="T148" s="1420"/>
      <c r="U148" s="1376"/>
      <c r="V148" s="1376"/>
      <c r="W148" s="46"/>
      <c r="X148" s="46"/>
      <c r="Y148" s="46"/>
      <c r="Z148" s="46"/>
      <c r="AA148" s="46"/>
      <c r="AB148" s="46"/>
      <c r="AC148" s="46"/>
      <c r="AD148" s="46"/>
      <c r="AE148" s="46"/>
      <c r="AF148" s="46"/>
      <c r="AG148" s="46"/>
      <c r="AH148" s="1430" t="s">
        <v>1355</v>
      </c>
      <c r="AI148" s="1431" t="s">
        <v>1356</v>
      </c>
      <c r="AJ148" s="1431" t="s">
        <v>1357</v>
      </c>
      <c r="AK148" s="1431" t="s">
        <v>1358</v>
      </c>
      <c r="AL148" s="1431" t="s">
        <v>1359</v>
      </c>
      <c r="AM148" s="1431" t="s">
        <v>1360</v>
      </c>
      <c r="AN148" s="1432" t="s">
        <v>1361</v>
      </c>
      <c r="AO148" s="232"/>
      <c r="AP148" s="1433" t="s">
        <v>1355</v>
      </c>
      <c r="AQ148" s="1431" t="s">
        <v>1362</v>
      </c>
      <c r="AR148" s="1431" t="s">
        <v>1363</v>
      </c>
      <c r="AS148" s="1432" t="s">
        <v>1358</v>
      </c>
      <c r="AT148" s="232"/>
      <c r="AU148" s="1433" t="s">
        <v>1364</v>
      </c>
      <c r="AV148" s="1432" t="s">
        <v>1365</v>
      </c>
      <c r="AW148" s="232"/>
      <c r="AX148" s="1433" t="s">
        <v>1364</v>
      </c>
      <c r="AY148" s="1432" t="s">
        <v>1360</v>
      </c>
      <c r="AZ148" s="232"/>
      <c r="BA148" s="1434" t="s">
        <v>1355</v>
      </c>
      <c r="BB148" s="1431" t="s">
        <v>1360</v>
      </c>
      <c r="BC148" s="1431" t="s">
        <v>1359</v>
      </c>
      <c r="BD148" s="1431" t="s">
        <v>1357</v>
      </c>
      <c r="BE148" s="1431" t="s">
        <v>1356</v>
      </c>
      <c r="BF148" s="1432" t="s">
        <v>1361</v>
      </c>
      <c r="BG148" s="1250"/>
      <c r="BH148" s="1434" t="s">
        <v>1355</v>
      </c>
      <c r="BI148" s="1431" t="s">
        <v>1359</v>
      </c>
      <c r="BJ148" s="1431" t="s">
        <v>1357</v>
      </c>
      <c r="BK148" s="1431" t="s">
        <v>1356</v>
      </c>
      <c r="BL148" s="1432" t="s">
        <v>1366</v>
      </c>
      <c r="BM148" s="1250"/>
      <c r="BN148" s="1433" t="s">
        <v>128</v>
      </c>
      <c r="BO148" s="1432" t="s">
        <v>132</v>
      </c>
      <c r="BP148" s="1435"/>
      <c r="BQ148" s="1433" t="s">
        <v>128</v>
      </c>
      <c r="BR148" s="1436" t="s">
        <v>132</v>
      </c>
      <c r="BS148" s="1437" t="s">
        <v>1367</v>
      </c>
      <c r="BT148" s="14"/>
      <c r="BU148" s="1430" t="s">
        <v>1355</v>
      </c>
      <c r="BV148" s="1438" t="s">
        <v>1368</v>
      </c>
      <c r="BW148" s="1439" t="s">
        <v>1369</v>
      </c>
      <c r="BX148" s="1440"/>
      <c r="BY148" s="1441" t="s">
        <v>1364</v>
      </c>
      <c r="BZ148" s="1442" t="s">
        <v>1370</v>
      </c>
      <c r="CA148" s="14"/>
      <c r="CB148" s="1433" t="s">
        <v>1364</v>
      </c>
      <c r="CC148" s="1437" t="s">
        <v>1370</v>
      </c>
    </row>
    <row r="149" spans="1:81" ht="13.5" customHeight="1">
      <c r="A149" s="46"/>
      <c r="B149" s="1443" t="s">
        <v>1211</v>
      </c>
      <c r="C149" s="1444">
        <v>70</v>
      </c>
      <c r="D149" s="1187"/>
      <c r="E149" s="46">
        <v>604</v>
      </c>
      <c r="F149" s="46"/>
      <c r="G149" s="46">
        <v>0.44</v>
      </c>
      <c r="H149" s="46"/>
      <c r="I149" s="1419">
        <f t="shared" ref="I149:I150" si="52">C149*E149*G149*365</f>
        <v>6790168</v>
      </c>
      <c r="J149" s="1187"/>
      <c r="K149" s="1419">
        <f t="shared" ref="K149:K150" si="53">(I149*0.2*0.01)/1000</f>
        <v>13.580336000000001</v>
      </c>
      <c r="L149" s="1445"/>
      <c r="M149" s="1424">
        <f>C149*(AI149+AJ149+AL149+AN149)*E149*G149*365</f>
        <v>3328752.5815385436</v>
      </c>
      <c r="N149" s="46"/>
      <c r="O149" s="1424">
        <f>C149*(AM149)*E149*G149*365</f>
        <v>447882.21253309777</v>
      </c>
      <c r="P149" s="1034"/>
      <c r="Q149" s="1424">
        <f>C149*(AK149)*E149*G149*365</f>
        <v>3013533.2059283582</v>
      </c>
      <c r="R149" s="1034"/>
      <c r="S149" s="109">
        <f t="shared" ref="S149:S150" si="54">((M149+Q149)*(1-0.2)*0.0125)/1000</f>
        <v>63.422857874669035</v>
      </c>
      <c r="T149" s="1446"/>
      <c r="U149" s="1424">
        <f t="shared" ref="U149:U150" si="55">(O149*0.02)/1000</f>
        <v>8.9576442506619554</v>
      </c>
      <c r="V149" s="46"/>
      <c r="W149" s="1447">
        <f>K117</f>
        <v>19328.712763893323</v>
      </c>
      <c r="X149" s="46" t="s">
        <v>1371</v>
      </c>
      <c r="Y149" s="46"/>
      <c r="Z149" s="46"/>
      <c r="AA149" s="46"/>
      <c r="AB149" s="46"/>
      <c r="AC149" s="46"/>
      <c r="AD149" s="46"/>
      <c r="AE149" s="46"/>
      <c r="AF149" s="46"/>
      <c r="AG149" s="46"/>
      <c r="AH149" s="1448" t="s">
        <v>1372</v>
      </c>
      <c r="AI149" s="1449">
        <v>7.6488535055593554E-2</v>
      </c>
      <c r="AJ149" s="1449">
        <v>0.15472472257238745</v>
      </c>
      <c r="AK149" s="1449">
        <v>0.44380834258126728</v>
      </c>
      <c r="AL149" s="1449">
        <v>0.22861605738914034</v>
      </c>
      <c r="AM149" s="1449">
        <v>6.5960402236453913E-2</v>
      </c>
      <c r="AN149" s="1450">
        <v>3.0401940165157418E-2</v>
      </c>
      <c r="AO149" s="232"/>
      <c r="AP149" s="1448" t="s">
        <v>1372</v>
      </c>
      <c r="AQ149" s="1449">
        <f>1-SUM(AR149:AS149)</f>
        <v>0.49023125518227884</v>
      </c>
      <c r="AR149" s="1449">
        <v>6.5960402236453913E-2</v>
      </c>
      <c r="AS149" s="1450">
        <v>0.44380834258126728</v>
      </c>
      <c r="AT149" s="232"/>
      <c r="AU149" s="1448" t="s">
        <v>1372</v>
      </c>
      <c r="AV149" s="1451">
        <v>1</v>
      </c>
      <c r="AW149" s="232"/>
      <c r="AX149" s="1448" t="s">
        <v>1372</v>
      </c>
      <c r="AY149" s="1451">
        <v>1</v>
      </c>
      <c r="AZ149" s="232"/>
      <c r="BA149" s="1448" t="s">
        <v>1372</v>
      </c>
      <c r="BB149" s="1452">
        <v>0.21140679400000001</v>
      </c>
      <c r="BC149" s="1449">
        <v>3.7602905999999998E-2</v>
      </c>
      <c r="BD149" s="1449">
        <v>0.214504853</v>
      </c>
      <c r="BE149" s="1449">
        <v>0.15671048400000001</v>
      </c>
      <c r="BF149" s="1450">
        <v>0.37977496300000002</v>
      </c>
      <c r="BG149" s="14"/>
      <c r="BH149" s="1453" t="s">
        <v>1372</v>
      </c>
      <c r="BI149" s="1449">
        <v>0</v>
      </c>
      <c r="BJ149" s="1449">
        <v>0</v>
      </c>
      <c r="BK149" s="1449">
        <v>0.05</v>
      </c>
      <c r="BL149" s="1450">
        <v>0.95</v>
      </c>
      <c r="BM149" s="46"/>
      <c r="BN149" s="1454" t="s">
        <v>1373</v>
      </c>
      <c r="BO149" s="1455">
        <v>1</v>
      </c>
      <c r="BP149" s="46"/>
      <c r="BQ149" s="1456" t="s">
        <v>1373</v>
      </c>
      <c r="BR149" s="1457">
        <v>0.9</v>
      </c>
      <c r="BS149" s="1458">
        <v>0.1</v>
      </c>
      <c r="BT149" s="46"/>
      <c r="BU149" s="1456" t="s">
        <v>1373</v>
      </c>
      <c r="BV149" s="1459">
        <v>0</v>
      </c>
      <c r="BW149" s="1455">
        <v>1</v>
      </c>
      <c r="BX149" s="46"/>
      <c r="BY149" s="1454" t="s">
        <v>1373</v>
      </c>
      <c r="BZ149" s="1455">
        <v>1</v>
      </c>
      <c r="CA149" s="46"/>
      <c r="CB149" s="1456" t="s">
        <v>1373</v>
      </c>
      <c r="CC149" s="1455">
        <v>1</v>
      </c>
    </row>
    <row r="150" spans="1:81" ht="12.75" customHeight="1">
      <c r="A150" s="46"/>
      <c r="B150" s="1420" t="s">
        <v>1212</v>
      </c>
      <c r="C150" s="1444">
        <v>30</v>
      </c>
      <c r="D150" s="1187"/>
      <c r="E150" s="46">
        <v>476</v>
      </c>
      <c r="F150" s="46"/>
      <c r="G150" s="46">
        <v>0.31</v>
      </c>
      <c r="H150" s="46"/>
      <c r="I150" s="1419">
        <f t="shared" si="52"/>
        <v>1615782</v>
      </c>
      <c r="J150" s="1187"/>
      <c r="K150" s="1419">
        <f t="shared" si="53"/>
        <v>3.2315640000000001</v>
      </c>
      <c r="L150" s="1445"/>
      <c r="M150" s="1424">
        <f>C150*(AQ149)*E150*G150*365</f>
        <v>792106.83796093287</v>
      </c>
      <c r="N150" s="46"/>
      <c r="O150" s="1424">
        <f>C150*(AR149)*E150*G150*365</f>
        <v>106577.63064642198</v>
      </c>
      <c r="P150" s="46"/>
      <c r="Q150" s="1424">
        <f>C150*(AK149)*E150*G150*365</f>
        <v>717097.53139264521</v>
      </c>
      <c r="R150" s="1034"/>
      <c r="S150" s="109">
        <f t="shared" si="54"/>
        <v>15.092043693535782</v>
      </c>
      <c r="T150" s="1446"/>
      <c r="U150" s="1424">
        <f t="shared" si="55"/>
        <v>2.1315526129284397</v>
      </c>
      <c r="V150" s="46"/>
      <c r="W150" s="1447">
        <f>K116</f>
        <v>46082212.211140171</v>
      </c>
      <c r="X150" s="46" t="s">
        <v>1374</v>
      </c>
      <c r="Y150" s="97"/>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6"/>
      <c r="BX150" s="46"/>
      <c r="BY150" s="46"/>
      <c r="BZ150" s="46"/>
      <c r="CA150" s="46"/>
      <c r="CB150" s="46"/>
      <c r="CC150" s="46"/>
    </row>
    <row r="151" spans="1:81" ht="12" customHeight="1">
      <c r="A151" s="46"/>
      <c r="B151" s="97" t="s">
        <v>1215</v>
      </c>
      <c r="C151" s="1460"/>
      <c r="D151" s="1187"/>
      <c r="E151" s="46"/>
      <c r="F151" s="46"/>
      <c r="G151" s="46"/>
      <c r="H151" s="46"/>
      <c r="I151" s="1203"/>
      <c r="J151" s="1187"/>
      <c r="K151" s="1461"/>
      <c r="L151" s="46"/>
      <c r="M151" s="1034"/>
      <c r="N151" s="46"/>
      <c r="O151" s="46"/>
      <c r="P151" s="46"/>
      <c r="Q151" s="46"/>
      <c r="R151" s="1034"/>
      <c r="S151" s="1462"/>
      <c r="T151" s="46"/>
      <c r="U151" s="46"/>
      <c r="V151" s="46"/>
      <c r="W151" s="1463">
        <f>SUM(W149:W150)/1000*0.3</f>
        <v>13830.462277171218</v>
      </c>
      <c r="X151" s="97" t="s">
        <v>1375</v>
      </c>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c r="BH151" s="46"/>
      <c r="BI151" s="46"/>
      <c r="BJ151" s="46"/>
      <c r="BK151" s="46"/>
      <c r="BL151" s="46"/>
      <c r="BM151" s="46"/>
      <c r="BN151" s="46"/>
      <c r="BO151" s="46"/>
      <c r="BP151" s="46"/>
      <c r="BQ151" s="46"/>
      <c r="BR151" s="46"/>
      <c r="BS151" s="46"/>
      <c r="BT151" s="46"/>
      <c r="BU151" s="46"/>
      <c r="BV151" s="46"/>
      <c r="BW151" s="46"/>
      <c r="BX151" s="46"/>
      <c r="BY151" s="46"/>
      <c r="BZ151" s="46"/>
      <c r="CA151" s="46"/>
      <c r="CB151" s="46"/>
      <c r="CC151" s="46"/>
    </row>
    <row r="152" spans="1:81" ht="11.25" customHeight="1">
      <c r="A152" s="46"/>
      <c r="B152" s="1420" t="s">
        <v>1220</v>
      </c>
      <c r="C152" s="1444">
        <v>3.9119999999999999</v>
      </c>
      <c r="D152" s="1187"/>
      <c r="E152" s="46">
        <v>420</v>
      </c>
      <c r="F152" s="46"/>
      <c r="G152" s="46">
        <v>0.3</v>
      </c>
      <c r="H152" s="46"/>
      <c r="I152" s="1419">
        <f t="shared" ref="I152:I158" si="56">C152*E152*G152*365</f>
        <v>179912.88</v>
      </c>
      <c r="J152" s="1187"/>
      <c r="K152" s="1419">
        <f t="shared" ref="K152:K158" si="57">(I152*0.2*0.01)/1000</f>
        <v>0.35982575999999999</v>
      </c>
      <c r="L152" s="1445"/>
      <c r="M152" s="1424">
        <f>C152*(AV149)*E152*G152*365</f>
        <v>179912.88</v>
      </c>
      <c r="N152" s="46"/>
      <c r="O152" s="107" t="s">
        <v>809</v>
      </c>
      <c r="P152" s="1464"/>
      <c r="Q152" s="107" t="s">
        <v>809</v>
      </c>
      <c r="R152" s="1034"/>
      <c r="S152" s="109">
        <f t="shared" ref="S152:S153" si="58">((M152)*(1-0.2)*0.0125)/1000</f>
        <v>1.7991288000000001</v>
      </c>
      <c r="T152" s="1446"/>
      <c r="U152" s="107" t="s">
        <v>809</v>
      </c>
      <c r="V152" s="1181"/>
      <c r="W152" s="1465"/>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c r="BH152" s="46"/>
      <c r="BI152" s="46"/>
      <c r="BJ152" s="46"/>
      <c r="BK152" s="46"/>
      <c r="BL152" s="46"/>
      <c r="BM152" s="46"/>
      <c r="BN152" s="46"/>
      <c r="BO152" s="46"/>
      <c r="BP152" s="46"/>
      <c r="BQ152" s="46"/>
      <c r="BR152" s="46"/>
      <c r="BS152" s="46"/>
      <c r="BT152" s="46"/>
      <c r="BU152" s="46"/>
      <c r="BV152" s="46"/>
      <c r="BW152" s="46"/>
      <c r="BX152" s="46"/>
      <c r="BY152" s="46"/>
      <c r="BZ152" s="46"/>
      <c r="CA152" s="46"/>
      <c r="CB152" s="46"/>
      <c r="CC152" s="46"/>
    </row>
    <row r="153" spans="1:81" ht="12" customHeight="1">
      <c r="A153" s="46"/>
      <c r="B153" s="1420" t="s">
        <v>1221</v>
      </c>
      <c r="C153" s="1444">
        <v>7.3949999999999996</v>
      </c>
      <c r="D153" s="1187"/>
      <c r="E153" s="46">
        <v>420</v>
      </c>
      <c r="F153" s="46"/>
      <c r="G153" s="46">
        <v>0.3</v>
      </c>
      <c r="H153" s="46"/>
      <c r="I153" s="1419">
        <f t="shared" si="56"/>
        <v>340096.04999999993</v>
      </c>
      <c r="J153" s="1187"/>
      <c r="K153" s="1419">
        <f t="shared" si="57"/>
        <v>0.68019209999999997</v>
      </c>
      <c r="L153" s="1445"/>
      <c r="M153" s="1424">
        <f>C153*AV149*E153*G153*365</f>
        <v>340096.04999999993</v>
      </c>
      <c r="N153" s="46"/>
      <c r="O153" s="107" t="s">
        <v>809</v>
      </c>
      <c r="P153" s="1464"/>
      <c r="Q153" s="107" t="s">
        <v>809</v>
      </c>
      <c r="R153" s="1034"/>
      <c r="S153" s="109">
        <f t="shared" si="58"/>
        <v>3.4009604999999996</v>
      </c>
      <c r="T153" s="1446"/>
      <c r="U153" s="107" t="s">
        <v>809</v>
      </c>
      <c r="V153" s="1181"/>
      <c r="W153" s="1447">
        <f>I177</f>
        <v>39420248.386150002</v>
      </c>
      <c r="X153" s="46" t="s">
        <v>1376</v>
      </c>
      <c r="Y153" s="97"/>
      <c r="Z153" s="46"/>
      <c r="AA153" s="46"/>
      <c r="AB153" s="46"/>
      <c r="AC153" s="46"/>
      <c r="AD153" s="46"/>
      <c r="AE153" s="46"/>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6"/>
      <c r="BS153" s="46"/>
      <c r="BT153" s="46"/>
      <c r="BU153" s="46"/>
      <c r="BV153" s="46"/>
      <c r="BW153" s="46"/>
      <c r="BX153" s="46"/>
      <c r="BY153" s="46"/>
      <c r="BZ153" s="46"/>
      <c r="CA153" s="46"/>
      <c r="CB153" s="46"/>
      <c r="CC153" s="46"/>
    </row>
    <row r="154" spans="1:81" ht="12" customHeight="1">
      <c r="A154" s="46"/>
      <c r="B154" s="1420" t="s">
        <v>1222</v>
      </c>
      <c r="C154" s="1444">
        <v>3</v>
      </c>
      <c r="D154" s="1187"/>
      <c r="E154" s="46">
        <v>750</v>
      </c>
      <c r="F154" s="46"/>
      <c r="G154" s="46">
        <v>0.31</v>
      </c>
      <c r="H154" s="46"/>
      <c r="I154" s="1419">
        <f t="shared" si="56"/>
        <v>254587.5</v>
      </c>
      <c r="J154" s="1187"/>
      <c r="K154" s="1419">
        <f t="shared" si="57"/>
        <v>0.50917500000000004</v>
      </c>
      <c r="L154" s="1445"/>
      <c r="M154" s="1419" t="s">
        <v>809</v>
      </c>
      <c r="N154" s="46"/>
      <c r="O154" s="1466">
        <f t="shared" ref="O154:O158" si="59">C154*(AY$149)*E154*G154*365</f>
        <v>254587.5</v>
      </c>
      <c r="P154" s="1464"/>
      <c r="Q154" s="107" t="s">
        <v>809</v>
      </c>
      <c r="R154" s="1034"/>
      <c r="S154" s="1419" t="s">
        <v>809</v>
      </c>
      <c r="T154" s="1446"/>
      <c r="U154" s="1424">
        <f t="shared" ref="U154:U158" si="60">(O154*0.02)/1000</f>
        <v>5.0917500000000002</v>
      </c>
      <c r="V154" s="46"/>
      <c r="W154" s="1463">
        <f>(W153*(1-0)*0.3)/1000</f>
        <v>11826.074515845001</v>
      </c>
      <c r="X154" s="97" t="s">
        <v>1377</v>
      </c>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6"/>
    </row>
    <row r="155" spans="1:81" ht="12" customHeight="1">
      <c r="A155" s="46"/>
      <c r="B155" s="1420" t="s">
        <v>1239</v>
      </c>
      <c r="C155" s="1444">
        <v>37</v>
      </c>
      <c r="D155" s="1187"/>
      <c r="E155" s="46">
        <v>118</v>
      </c>
      <c r="F155" s="46"/>
      <c r="G155" s="46">
        <v>0.3</v>
      </c>
      <c r="H155" s="46"/>
      <c r="I155" s="1419">
        <f t="shared" si="56"/>
        <v>478077</v>
      </c>
      <c r="J155" s="1187"/>
      <c r="K155" s="1419">
        <f t="shared" si="57"/>
        <v>0.95615400000000006</v>
      </c>
      <c r="L155" s="1445"/>
      <c r="M155" s="1419" t="s">
        <v>809</v>
      </c>
      <c r="N155" s="46"/>
      <c r="O155" s="1466">
        <f t="shared" si="59"/>
        <v>478077</v>
      </c>
      <c r="P155" s="1464"/>
      <c r="Q155" s="107" t="s">
        <v>809</v>
      </c>
      <c r="R155" s="1034"/>
      <c r="S155" s="1419" t="s">
        <v>809</v>
      </c>
      <c r="T155" s="1446"/>
      <c r="U155" s="1424">
        <f t="shared" si="60"/>
        <v>9.5615400000000008</v>
      </c>
      <c r="V155" s="46"/>
      <c r="W155" s="1465"/>
      <c r="X155" s="46"/>
      <c r="Y155" s="97"/>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6"/>
    </row>
    <row r="156" spans="1:81" ht="13.5" customHeight="1">
      <c r="A156" s="46"/>
      <c r="B156" s="1420" t="s">
        <v>1216</v>
      </c>
      <c r="C156" s="1444">
        <v>49</v>
      </c>
      <c r="D156" s="1187"/>
      <c r="E156" s="46">
        <v>533</v>
      </c>
      <c r="F156" s="46"/>
      <c r="G156" s="46">
        <v>0.33</v>
      </c>
      <c r="H156" s="46"/>
      <c r="I156" s="1419">
        <f t="shared" si="56"/>
        <v>3145792.6500000004</v>
      </c>
      <c r="J156" s="1187"/>
      <c r="K156" s="1419">
        <f t="shared" si="57"/>
        <v>6.2915853000000013</v>
      </c>
      <c r="L156" s="1445"/>
      <c r="M156" s="1419" t="s">
        <v>809</v>
      </c>
      <c r="N156" s="46"/>
      <c r="O156" s="1466">
        <f t="shared" si="59"/>
        <v>3145792.6500000004</v>
      </c>
      <c r="P156" s="1464"/>
      <c r="Q156" s="107" t="s">
        <v>809</v>
      </c>
      <c r="R156" s="1034"/>
      <c r="S156" s="1419" t="s">
        <v>809</v>
      </c>
      <c r="T156" s="1446"/>
      <c r="U156" s="1424">
        <f t="shared" si="60"/>
        <v>62.915853000000013</v>
      </c>
      <c r="V156" s="46"/>
      <c r="W156" s="1463">
        <f>SUM(W151,W154)*0.0075</f>
        <v>192.42402594762163</v>
      </c>
      <c r="X156" s="97" t="s">
        <v>1378</v>
      </c>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6"/>
      <c r="BT156" s="46"/>
      <c r="BU156" s="46"/>
      <c r="BV156" s="46"/>
      <c r="BW156" s="46"/>
      <c r="BX156" s="46"/>
      <c r="BY156" s="46"/>
      <c r="BZ156" s="46"/>
      <c r="CA156" s="46"/>
      <c r="CB156" s="46"/>
      <c r="CC156" s="46"/>
    </row>
    <row r="157" spans="1:81" ht="11.25" customHeight="1">
      <c r="A157" s="46"/>
      <c r="B157" s="1420" t="s">
        <v>1219</v>
      </c>
      <c r="C157" s="1444">
        <v>13</v>
      </c>
      <c r="D157" s="1187"/>
      <c r="E157" s="46">
        <v>318</v>
      </c>
      <c r="F157" s="46"/>
      <c r="G157" s="46">
        <v>0.31</v>
      </c>
      <c r="H157" s="46"/>
      <c r="I157" s="1419">
        <f t="shared" si="56"/>
        <v>467762.1</v>
      </c>
      <c r="J157" s="1187"/>
      <c r="K157" s="1419">
        <f t="shared" si="57"/>
        <v>0.93552419999999992</v>
      </c>
      <c r="L157" s="1445"/>
      <c r="M157" s="1419" t="s">
        <v>809</v>
      </c>
      <c r="N157" s="46"/>
      <c r="O157" s="1466">
        <f t="shared" si="59"/>
        <v>467762.1</v>
      </c>
      <c r="P157" s="1464"/>
      <c r="Q157" s="107" t="s">
        <v>809</v>
      </c>
      <c r="R157" s="1034"/>
      <c r="S157" s="1419" t="s">
        <v>809</v>
      </c>
      <c r="T157" s="1446"/>
      <c r="U157" s="1424">
        <f t="shared" si="60"/>
        <v>9.3552420000000005</v>
      </c>
      <c r="V157" s="46"/>
      <c r="W157" s="1467"/>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46"/>
      <c r="BG157" s="46"/>
      <c r="BH157" s="46"/>
      <c r="BI157" s="46"/>
      <c r="BJ157" s="46"/>
      <c r="BK157" s="46"/>
      <c r="BL157" s="46"/>
      <c r="BM157" s="46"/>
      <c r="BN157" s="46"/>
      <c r="BO157" s="46"/>
      <c r="BP157" s="46"/>
      <c r="BQ157" s="46"/>
      <c r="BR157" s="46"/>
      <c r="BS157" s="46"/>
      <c r="BT157" s="46"/>
      <c r="BU157" s="46"/>
      <c r="BV157" s="46"/>
      <c r="BW157" s="46"/>
      <c r="BX157" s="46"/>
      <c r="BY157" s="46"/>
      <c r="BZ157" s="46"/>
      <c r="CA157" s="46"/>
      <c r="CB157" s="46"/>
      <c r="CC157" s="46"/>
    </row>
    <row r="158" spans="1:81" ht="11.25" customHeight="1">
      <c r="A158" s="46"/>
      <c r="B158" s="1420" t="s">
        <v>1379</v>
      </c>
      <c r="C158" s="1444">
        <v>23</v>
      </c>
      <c r="D158" s="1187"/>
      <c r="E158" s="46">
        <v>420</v>
      </c>
      <c r="F158" s="46"/>
      <c r="G158" s="46">
        <v>0.31</v>
      </c>
      <c r="H158" s="46"/>
      <c r="I158" s="1419">
        <f t="shared" si="56"/>
        <v>1093029</v>
      </c>
      <c r="J158" s="1187"/>
      <c r="K158" s="1419">
        <f t="shared" si="57"/>
        <v>2.1860580000000001</v>
      </c>
      <c r="L158" s="1445"/>
      <c r="M158" s="1419" t="s">
        <v>809</v>
      </c>
      <c r="N158" s="46"/>
      <c r="O158" s="1466">
        <f t="shared" si="59"/>
        <v>1093029</v>
      </c>
      <c r="P158" s="1464"/>
      <c r="Q158" s="107" t="s">
        <v>809</v>
      </c>
      <c r="R158" s="1034"/>
      <c r="S158" s="1419" t="s">
        <v>809</v>
      </c>
      <c r="T158" s="1446"/>
      <c r="U158" s="1424">
        <f t="shared" si="60"/>
        <v>21.860580000000002</v>
      </c>
      <c r="V158" s="46"/>
      <c r="W158" s="1467"/>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46"/>
      <c r="BS158" s="46"/>
      <c r="BT158" s="46"/>
      <c r="BU158" s="46"/>
      <c r="BV158" s="46"/>
      <c r="BW158" s="46"/>
      <c r="BX158" s="46"/>
      <c r="BY158" s="46"/>
      <c r="BZ158" s="46"/>
      <c r="CA158" s="46"/>
      <c r="CB158" s="46"/>
      <c r="CC158" s="46"/>
    </row>
    <row r="159" spans="1:81" ht="11.25" customHeight="1">
      <c r="A159" s="46"/>
      <c r="B159" s="97" t="s">
        <v>1225</v>
      </c>
      <c r="C159" s="1460"/>
      <c r="D159" s="1187"/>
      <c r="E159" s="46"/>
      <c r="F159" s="46"/>
      <c r="G159" s="46"/>
      <c r="H159" s="46"/>
      <c r="I159" s="1461"/>
      <c r="J159" s="1187"/>
      <c r="K159" s="1461"/>
      <c r="L159" s="46"/>
      <c r="M159" s="46"/>
      <c r="N159" s="46"/>
      <c r="O159" s="46"/>
      <c r="P159" s="46"/>
      <c r="Q159" s="46"/>
      <c r="R159" s="1034"/>
      <c r="S159" s="1187"/>
      <c r="T159" s="46"/>
      <c r="U159" s="46"/>
      <c r="V159" s="46"/>
      <c r="W159" s="1467"/>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6"/>
      <c r="BZ159" s="46"/>
      <c r="CA159" s="46"/>
      <c r="CB159" s="46"/>
      <c r="CC159" s="46"/>
    </row>
    <row r="160" spans="1:81" ht="11.25" customHeight="1">
      <c r="A160" s="46"/>
      <c r="B160" s="1420" t="s">
        <v>1240</v>
      </c>
      <c r="C160" s="1444">
        <v>6</v>
      </c>
      <c r="D160" s="1187"/>
      <c r="E160" s="46">
        <v>198</v>
      </c>
      <c r="F160" s="46"/>
      <c r="G160" s="46">
        <v>0.23499999999999999</v>
      </c>
      <c r="H160" s="46"/>
      <c r="I160" s="1419">
        <f t="shared" ref="I160:I164" si="61">C160*E160*G160*365</f>
        <v>101900.7</v>
      </c>
      <c r="J160" s="1187"/>
      <c r="K160" s="1419">
        <f t="shared" ref="K160:K164" si="62">(I160*0.2*0.01)/1000</f>
        <v>0.20380139999999999</v>
      </c>
      <c r="L160" s="1445"/>
      <c r="M160" s="1424">
        <f>C160*(BC149+BD149+BE149+BF149)*E160*G160*365</f>
        <v>80358.199706644213</v>
      </c>
      <c r="N160" s="46"/>
      <c r="O160" s="1424">
        <f t="shared" ref="O160:O164" si="63">C160*(BB$149)*E160*G160*365</f>
        <v>21542.500293355803</v>
      </c>
      <c r="P160" s="46"/>
      <c r="Q160" s="107" t="s">
        <v>809</v>
      </c>
      <c r="R160" s="1034"/>
      <c r="S160" s="109">
        <f t="shared" ref="S160:S164" si="64">((M160)*(1-0.2)*0.0125)/1000</f>
        <v>0.80358199706644218</v>
      </c>
      <c r="T160" s="1446"/>
      <c r="U160" s="1424">
        <f t="shared" ref="U160:U164" si="65">(O160*0.02)/1000</f>
        <v>0.43085000586711608</v>
      </c>
      <c r="V160" s="1420"/>
      <c r="W160" s="1467"/>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6"/>
      <c r="BZ160" s="46"/>
      <c r="CA160" s="46"/>
      <c r="CB160" s="46"/>
      <c r="CC160" s="46"/>
    </row>
    <row r="161" spans="1:81" ht="11.25" customHeight="1">
      <c r="A161" s="46"/>
      <c r="B161" s="1420" t="s">
        <v>1241</v>
      </c>
      <c r="C161" s="1444">
        <v>10</v>
      </c>
      <c r="D161" s="1187"/>
      <c r="E161" s="46">
        <v>15.88</v>
      </c>
      <c r="F161" s="46"/>
      <c r="G161" s="46">
        <v>0.6</v>
      </c>
      <c r="H161" s="46"/>
      <c r="I161" s="1419">
        <f t="shared" si="61"/>
        <v>34777.199999999997</v>
      </c>
      <c r="J161" s="1187"/>
      <c r="K161" s="1419">
        <f t="shared" si="62"/>
        <v>6.9554400000000002E-2</v>
      </c>
      <c r="L161" s="1445"/>
      <c r="M161" s="1424">
        <f>C161*(BC149+BD149+BE149+BF149)*E161*G161*365</f>
        <v>27425.063643703201</v>
      </c>
      <c r="N161" s="46"/>
      <c r="O161" s="1424">
        <f t="shared" si="63"/>
        <v>7352.1363562968008</v>
      </c>
      <c r="P161" s="46"/>
      <c r="Q161" s="107" t="s">
        <v>809</v>
      </c>
      <c r="R161" s="1034"/>
      <c r="S161" s="109">
        <f t="shared" si="64"/>
        <v>0.27425063643703201</v>
      </c>
      <c r="T161" s="1446"/>
      <c r="U161" s="1424">
        <f t="shared" si="65"/>
        <v>0.14704272712593602</v>
      </c>
      <c r="V161" s="1181"/>
      <c r="W161" s="1467"/>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6"/>
      <c r="BU161" s="46"/>
      <c r="BV161" s="46"/>
      <c r="BW161" s="46"/>
      <c r="BX161" s="46"/>
      <c r="BY161" s="46"/>
      <c r="BZ161" s="46"/>
      <c r="CA161" s="46"/>
      <c r="CB161" s="46"/>
      <c r="CC161" s="46"/>
    </row>
    <row r="162" spans="1:81" ht="11.25" customHeight="1">
      <c r="A162" s="46"/>
      <c r="B162" s="1420" t="s">
        <v>1242</v>
      </c>
      <c r="C162" s="1444">
        <v>6</v>
      </c>
      <c r="D162" s="1187"/>
      <c r="E162" s="46">
        <v>40.6</v>
      </c>
      <c r="F162" s="46"/>
      <c r="G162" s="46">
        <v>0.42</v>
      </c>
      <c r="H162" s="46"/>
      <c r="I162" s="1419">
        <f t="shared" si="61"/>
        <v>37343.880000000005</v>
      </c>
      <c r="J162" s="1187"/>
      <c r="K162" s="1419">
        <f t="shared" si="62"/>
        <v>7.4687760000000006E-2</v>
      </c>
      <c r="L162" s="1445"/>
      <c r="M162" s="1424">
        <f>C162*(BC149+BD149+BE149+BF149)*E162*G162*365</f>
        <v>29449.130053679284</v>
      </c>
      <c r="N162" s="46"/>
      <c r="O162" s="1424">
        <f t="shared" si="63"/>
        <v>7894.7499463207205</v>
      </c>
      <c r="P162" s="46"/>
      <c r="Q162" s="107" t="s">
        <v>809</v>
      </c>
      <c r="R162" s="1034"/>
      <c r="S162" s="109">
        <f t="shared" si="64"/>
        <v>0.2944913005367929</v>
      </c>
      <c r="T162" s="1446"/>
      <c r="U162" s="1424">
        <f t="shared" si="65"/>
        <v>0.15789499892641443</v>
      </c>
      <c r="V162" s="1420"/>
      <c r="W162" s="1467"/>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c r="BS162" s="46"/>
      <c r="BT162" s="46"/>
      <c r="BU162" s="46"/>
      <c r="BV162" s="46"/>
      <c r="BW162" s="46"/>
      <c r="BX162" s="46"/>
      <c r="BY162" s="46"/>
      <c r="BZ162" s="46"/>
      <c r="CA162" s="46"/>
      <c r="CB162" s="46"/>
      <c r="CC162" s="46"/>
    </row>
    <row r="163" spans="1:81" ht="11.25" customHeight="1">
      <c r="A163" s="46"/>
      <c r="B163" s="1420" t="s">
        <v>1243</v>
      </c>
      <c r="C163" s="1444">
        <v>7</v>
      </c>
      <c r="D163" s="1187"/>
      <c r="E163" s="46">
        <v>67.819999999999993</v>
      </c>
      <c r="F163" s="46"/>
      <c r="G163" s="46">
        <v>0.42</v>
      </c>
      <c r="H163" s="46"/>
      <c r="I163" s="1419">
        <f t="shared" si="61"/>
        <v>72777.641999999993</v>
      </c>
      <c r="J163" s="1187"/>
      <c r="K163" s="1419">
        <f t="shared" si="62"/>
        <v>0.14555528400000001</v>
      </c>
      <c r="L163" s="1445"/>
      <c r="M163" s="1424">
        <f>C163*(BC149+BD149+BE149+BF149)*E163*G163*365</f>
        <v>57391.954029900247</v>
      </c>
      <c r="N163" s="46"/>
      <c r="O163" s="1424">
        <f t="shared" si="63"/>
        <v>15385.687970099749</v>
      </c>
      <c r="P163" s="46"/>
      <c r="Q163" s="107" t="s">
        <v>809</v>
      </c>
      <c r="R163" s="1034"/>
      <c r="S163" s="109">
        <f t="shared" si="64"/>
        <v>0.5739195402990025</v>
      </c>
      <c r="T163" s="1446"/>
      <c r="U163" s="1424">
        <f t="shared" si="65"/>
        <v>0.30771375940199497</v>
      </c>
      <c r="V163" s="46"/>
      <c r="W163" s="1467"/>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c r="BS163" s="46"/>
      <c r="BT163" s="46"/>
      <c r="BU163" s="46"/>
      <c r="BV163" s="46"/>
      <c r="BW163" s="46"/>
      <c r="BX163" s="46"/>
      <c r="BY163" s="46"/>
      <c r="BZ163" s="46"/>
      <c r="CA163" s="46"/>
      <c r="CB163" s="46"/>
      <c r="CC163" s="46"/>
    </row>
    <row r="164" spans="1:81" ht="11.25" customHeight="1">
      <c r="A164" s="46"/>
      <c r="B164" s="1420" t="s">
        <v>1244</v>
      </c>
      <c r="C164" s="1444">
        <v>4</v>
      </c>
      <c r="D164" s="1187"/>
      <c r="E164" s="46">
        <v>90.75</v>
      </c>
      <c r="F164" s="46"/>
      <c r="G164" s="46">
        <v>0.42</v>
      </c>
      <c r="H164" s="46"/>
      <c r="I164" s="1419">
        <f t="shared" si="61"/>
        <v>55647.9</v>
      </c>
      <c r="J164" s="1187"/>
      <c r="K164" s="1419">
        <f t="shared" si="62"/>
        <v>0.11129580000000001</v>
      </c>
      <c r="L164" s="1445"/>
      <c r="M164" s="1424">
        <f>C164*(BC149+BD149+BE149+BF149)*E164*G164*365</f>
        <v>43883.555868167401</v>
      </c>
      <c r="N164" s="46"/>
      <c r="O164" s="1424">
        <f t="shared" si="63"/>
        <v>11764.3441318326</v>
      </c>
      <c r="P164" s="46"/>
      <c r="Q164" s="107" t="s">
        <v>809</v>
      </c>
      <c r="R164" s="1034"/>
      <c r="S164" s="109">
        <f t="shared" si="64"/>
        <v>0.43883555868167406</v>
      </c>
      <c r="T164" s="1446"/>
      <c r="U164" s="1424">
        <f t="shared" si="65"/>
        <v>0.23528688263665201</v>
      </c>
      <c r="V164" s="46"/>
      <c r="W164" s="1467"/>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c r="BS164" s="46"/>
      <c r="BT164" s="46"/>
      <c r="BU164" s="46"/>
      <c r="BV164" s="46"/>
      <c r="BW164" s="46"/>
      <c r="BX164" s="46"/>
      <c r="BY164" s="46"/>
      <c r="BZ164" s="46"/>
      <c r="CA164" s="46"/>
      <c r="CB164" s="46"/>
      <c r="CC164" s="46"/>
    </row>
    <row r="165" spans="1:81" ht="11.25" customHeight="1">
      <c r="A165" s="46"/>
      <c r="B165" s="97" t="s">
        <v>1201</v>
      </c>
      <c r="C165" s="1460"/>
      <c r="D165" s="1187"/>
      <c r="E165" s="46"/>
      <c r="F165" s="46"/>
      <c r="G165" s="46"/>
      <c r="H165" s="46"/>
      <c r="I165" s="1468"/>
      <c r="J165" s="1187"/>
      <c r="K165" s="1468"/>
      <c r="L165" s="46"/>
      <c r="M165" s="46"/>
      <c r="N165" s="46"/>
      <c r="O165" s="46"/>
      <c r="P165" s="46"/>
      <c r="Q165" s="46"/>
      <c r="R165" s="1034"/>
      <c r="S165" s="1462"/>
      <c r="T165" s="46"/>
      <c r="U165" s="46"/>
      <c r="V165" s="46"/>
      <c r="W165" s="1034"/>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6"/>
      <c r="CB165" s="46"/>
      <c r="CC165" s="46"/>
    </row>
    <row r="166" spans="1:81" ht="11.25" customHeight="1">
      <c r="A166" s="46"/>
      <c r="B166" s="1420" t="s">
        <v>1245</v>
      </c>
      <c r="C166" s="1469"/>
      <c r="D166" s="1187"/>
      <c r="E166" s="46"/>
      <c r="F166" s="46"/>
      <c r="G166" s="46"/>
      <c r="H166" s="46"/>
      <c r="I166" s="1470"/>
      <c r="J166" s="1187"/>
      <c r="K166" s="1470"/>
      <c r="L166" s="46"/>
      <c r="M166" s="46"/>
      <c r="N166" s="46"/>
      <c r="O166" s="46"/>
      <c r="P166" s="46"/>
      <c r="Q166" s="46"/>
      <c r="R166" s="1034"/>
      <c r="S166" s="1462"/>
      <c r="T166" s="46"/>
      <c r="U166" s="46"/>
      <c r="V166" s="1181"/>
      <c r="W166" s="1467"/>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c r="CB166" s="46"/>
      <c r="CC166" s="46"/>
    </row>
    <row r="167" spans="1:81" ht="11.25" customHeight="1">
      <c r="A167" s="46"/>
      <c r="B167" s="1420" t="s">
        <v>1246</v>
      </c>
      <c r="C167" s="1444">
        <v>2560</v>
      </c>
      <c r="D167" s="1187"/>
      <c r="E167" s="46">
        <v>1.8</v>
      </c>
      <c r="F167" s="46"/>
      <c r="G167" s="46">
        <v>0.83</v>
      </c>
      <c r="H167" s="46"/>
      <c r="I167" s="1419">
        <f t="shared" ref="I167:I171" si="66">C167*E167*G167*365</f>
        <v>1395993.5999999999</v>
      </c>
      <c r="J167" s="1187"/>
      <c r="K167" s="1419">
        <f t="shared" ref="K167:K171" si="67">(I167*0.2*0.01)/1000</f>
        <v>2.7919871999999994</v>
      </c>
      <c r="L167" s="1445"/>
      <c r="M167" s="1424">
        <f t="shared" ref="M167:M171" si="68">C167*(BI$149+BJ$149+BK$149+BL$149)*E167*G167*365</f>
        <v>1395993.5999999999</v>
      </c>
      <c r="N167" s="46"/>
      <c r="O167" s="107" t="s">
        <v>809</v>
      </c>
      <c r="P167" s="46"/>
      <c r="Q167" s="107" t="s">
        <v>809</v>
      </c>
      <c r="R167" s="1034"/>
      <c r="S167" s="109">
        <f t="shared" ref="S167:S168" si="69">((M167)*(1-0.042)*(1-0.2)*0.0125)/1000</f>
        <v>13.373618688000001</v>
      </c>
      <c r="T167" s="1446"/>
      <c r="U167" s="107" t="s">
        <v>809</v>
      </c>
      <c r="V167" s="1181"/>
      <c r="W167" s="1467"/>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6"/>
      <c r="BZ167" s="46"/>
      <c r="CA167" s="46"/>
      <c r="CB167" s="46"/>
      <c r="CC167" s="46"/>
    </row>
    <row r="168" spans="1:81" ht="11.25" customHeight="1">
      <c r="A168" s="46"/>
      <c r="B168" s="1420" t="s">
        <v>1247</v>
      </c>
      <c r="C168" s="1444">
        <v>938</v>
      </c>
      <c r="D168" s="1187"/>
      <c r="E168" s="46">
        <v>1.8</v>
      </c>
      <c r="F168" s="46"/>
      <c r="G168" s="46">
        <v>0.62</v>
      </c>
      <c r="H168" s="46"/>
      <c r="I168" s="1419">
        <f t="shared" si="66"/>
        <v>382084.92</v>
      </c>
      <c r="J168" s="1187"/>
      <c r="K168" s="1419">
        <f t="shared" si="67"/>
        <v>0.76416983999999999</v>
      </c>
      <c r="L168" s="1445"/>
      <c r="M168" s="1424">
        <f t="shared" si="68"/>
        <v>382084.92</v>
      </c>
      <c r="N168" s="46"/>
      <c r="O168" s="107" t="s">
        <v>809</v>
      </c>
      <c r="P168" s="46"/>
      <c r="Q168" s="107" t="s">
        <v>809</v>
      </c>
      <c r="R168" s="1034"/>
      <c r="S168" s="109">
        <f t="shared" si="69"/>
        <v>3.6603735336000001</v>
      </c>
      <c r="T168" s="1446"/>
      <c r="U168" s="107" t="s">
        <v>809</v>
      </c>
      <c r="V168" s="1181"/>
      <c r="W168" s="1467"/>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c r="BS168" s="46"/>
      <c r="BT168" s="46"/>
      <c r="BU168" s="46"/>
      <c r="BV168" s="46"/>
      <c r="BW168" s="46"/>
      <c r="BX168" s="46"/>
      <c r="BY168" s="46"/>
      <c r="BZ168" s="46"/>
      <c r="CA168" s="46"/>
      <c r="CB168" s="46"/>
      <c r="CC168" s="46"/>
    </row>
    <row r="169" spans="1:81" ht="11.25" customHeight="1">
      <c r="A169" s="46"/>
      <c r="B169" s="1420" t="s">
        <v>1248</v>
      </c>
      <c r="C169" s="1444">
        <v>16</v>
      </c>
      <c r="D169" s="1187"/>
      <c r="E169" s="46">
        <v>1.8</v>
      </c>
      <c r="F169" s="46"/>
      <c r="G169" s="46">
        <v>0.83</v>
      </c>
      <c r="H169" s="46"/>
      <c r="I169" s="1419">
        <f t="shared" si="66"/>
        <v>8724.9599999999991</v>
      </c>
      <c r="J169" s="1187"/>
      <c r="K169" s="1419">
        <f t="shared" si="67"/>
        <v>1.7449919999999997E-2</v>
      </c>
      <c r="L169" s="1445"/>
      <c r="M169" s="1424">
        <f t="shared" si="68"/>
        <v>8724.9599999999991</v>
      </c>
      <c r="N169" s="46"/>
      <c r="O169" s="107" t="s">
        <v>809</v>
      </c>
      <c r="P169" s="46"/>
      <c r="Q169" s="107" t="s">
        <v>809</v>
      </c>
      <c r="R169" s="1034"/>
      <c r="S169" s="109">
        <f t="shared" ref="S169:S171" si="70">(((M169)*(0.958)*(1-0.2)*0.0125))/1000</f>
        <v>8.3585116800000012E-2</v>
      </c>
      <c r="T169" s="1446"/>
      <c r="U169" s="107" t="s">
        <v>809</v>
      </c>
      <c r="V169" s="1181"/>
      <c r="W169" s="1467"/>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c r="BS169" s="46"/>
      <c r="BT169" s="46"/>
      <c r="BU169" s="46"/>
      <c r="BV169" s="46"/>
      <c r="BW169" s="46"/>
      <c r="BX169" s="46"/>
      <c r="BY169" s="46"/>
      <c r="BZ169" s="46"/>
      <c r="CA169" s="46"/>
      <c r="CB169" s="46"/>
      <c r="CC169" s="46"/>
    </row>
    <row r="170" spans="1:81" ht="11.25" customHeight="1">
      <c r="A170" s="46"/>
      <c r="B170" s="1420" t="s">
        <v>1249</v>
      </c>
      <c r="C170" s="1444">
        <v>54090.909</v>
      </c>
      <c r="D170" s="1187"/>
      <c r="E170" s="46">
        <v>0.9</v>
      </c>
      <c r="F170" s="46"/>
      <c r="G170" s="46">
        <v>1.1000000000000001</v>
      </c>
      <c r="H170" s="46"/>
      <c r="I170" s="1419">
        <f t="shared" si="66"/>
        <v>19545749.967150003</v>
      </c>
      <c r="J170" s="1187"/>
      <c r="K170" s="1419">
        <f t="shared" si="67"/>
        <v>39.09149993430001</v>
      </c>
      <c r="L170" s="1445"/>
      <c r="M170" s="1424">
        <f t="shared" si="68"/>
        <v>19545749.967150003</v>
      </c>
      <c r="N170" s="46"/>
      <c r="O170" s="107" t="s">
        <v>809</v>
      </c>
      <c r="P170" s="46"/>
      <c r="Q170" s="107" t="s">
        <v>809</v>
      </c>
      <c r="R170" s="1034"/>
      <c r="S170" s="109">
        <f t="shared" si="70"/>
        <v>187.24828468529705</v>
      </c>
      <c r="T170" s="1446"/>
      <c r="U170" s="107" t="s">
        <v>809</v>
      </c>
      <c r="V170" s="46"/>
      <c r="W170" s="1467"/>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c r="BS170" s="46"/>
      <c r="BT170" s="46"/>
      <c r="BU170" s="46"/>
      <c r="BV170" s="46"/>
      <c r="BW170" s="46"/>
      <c r="BX170" s="46"/>
      <c r="BY170" s="46"/>
      <c r="BZ170" s="46"/>
      <c r="CA170" s="46"/>
      <c r="CB170" s="46"/>
      <c r="CC170" s="46"/>
    </row>
    <row r="171" spans="1:81" ht="11.25" customHeight="1">
      <c r="A171" s="46"/>
      <c r="B171" s="1420" t="s">
        <v>1250</v>
      </c>
      <c r="C171" s="1444">
        <v>0</v>
      </c>
      <c r="D171" s="1187"/>
      <c r="E171" s="46">
        <v>6.8</v>
      </c>
      <c r="F171" s="46"/>
      <c r="G171" s="46">
        <v>0.74</v>
      </c>
      <c r="H171" s="46"/>
      <c r="I171" s="1419">
        <f t="shared" si="66"/>
        <v>0</v>
      </c>
      <c r="J171" s="1187"/>
      <c r="K171" s="1419">
        <f t="shared" si="67"/>
        <v>0</v>
      </c>
      <c r="L171" s="1445"/>
      <c r="M171" s="1424">
        <f t="shared" si="68"/>
        <v>0</v>
      </c>
      <c r="N171" s="46"/>
      <c r="O171" s="1419">
        <f>C171*(BS149)*E171*G171*365</f>
        <v>0</v>
      </c>
      <c r="P171" s="46"/>
      <c r="Q171" s="107" t="s">
        <v>809</v>
      </c>
      <c r="R171" s="1034"/>
      <c r="S171" s="1424">
        <f t="shared" si="70"/>
        <v>0</v>
      </c>
      <c r="T171" s="1446"/>
      <c r="U171" s="1424">
        <f>(O171*0.02)/1000</f>
        <v>0</v>
      </c>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6"/>
      <c r="BZ171" s="46"/>
      <c r="CA171" s="46"/>
      <c r="CB171" s="46"/>
      <c r="CC171" s="46"/>
    </row>
    <row r="172" spans="1:81" ht="11.25" customHeight="1">
      <c r="A172" s="46"/>
      <c r="B172" s="97" t="s">
        <v>592</v>
      </c>
      <c r="C172" s="1460"/>
      <c r="D172" s="1187"/>
      <c r="E172" s="46"/>
      <c r="F172" s="46"/>
      <c r="G172" s="46"/>
      <c r="H172" s="46"/>
      <c r="I172" s="1461"/>
      <c r="J172" s="1187"/>
      <c r="K172" s="1461"/>
      <c r="L172" s="46"/>
      <c r="M172" s="46"/>
      <c r="N172" s="46"/>
      <c r="O172" s="46"/>
      <c r="P172" s="46"/>
      <c r="Q172" s="46"/>
      <c r="R172" s="1034"/>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c r="BS172" s="46"/>
      <c r="BT172" s="46"/>
      <c r="BU172" s="46"/>
      <c r="BV172" s="46"/>
      <c r="BW172" s="46"/>
      <c r="BX172" s="46"/>
      <c r="BY172" s="46"/>
      <c r="BZ172" s="46"/>
      <c r="CA172" s="46"/>
      <c r="CB172" s="46"/>
      <c r="CC172" s="46"/>
    </row>
    <row r="173" spans="1:81" ht="11.25" customHeight="1">
      <c r="A173" s="46"/>
      <c r="B173" s="1420" t="s">
        <v>1251</v>
      </c>
      <c r="C173" s="1444">
        <v>0</v>
      </c>
      <c r="D173" s="1187"/>
      <c r="E173" s="46">
        <v>27</v>
      </c>
      <c r="F173" s="46"/>
      <c r="G173" s="46">
        <v>0.42</v>
      </c>
      <c r="H173" s="46"/>
      <c r="I173" s="1419">
        <f t="shared" ref="I173:I176" si="71">C173*E173*G173*365</f>
        <v>0</v>
      </c>
      <c r="J173" s="1187"/>
      <c r="K173" s="1419">
        <f t="shared" ref="K173:K176" si="72">(I173*0.2*0.01)/1000</f>
        <v>0</v>
      </c>
      <c r="L173" s="1187"/>
      <c r="M173" s="1424">
        <f>C173*(1-BV149)*E173*G173*365</f>
        <v>0</v>
      </c>
      <c r="N173" s="1187"/>
      <c r="O173" s="1419">
        <f>C173*(BV149)*E173*G173*365</f>
        <v>0</v>
      </c>
      <c r="P173" s="1187"/>
      <c r="Q173" s="107" t="s">
        <v>809</v>
      </c>
      <c r="R173" s="1034"/>
      <c r="S173" s="1424">
        <f t="shared" ref="S173:S174" si="73">((M173)*(1-0.2)*0.0125)/1000</f>
        <v>0</v>
      </c>
      <c r="T173" s="1446"/>
      <c r="U173" s="1424">
        <f t="shared" ref="U173:U176" si="74">(O173*0.02)/1000</f>
        <v>0</v>
      </c>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6"/>
      <c r="BZ173" s="46"/>
      <c r="CA173" s="46"/>
      <c r="CB173" s="46"/>
      <c r="CC173" s="46"/>
    </row>
    <row r="174" spans="1:81" ht="11.25" customHeight="1">
      <c r="A174" s="46"/>
      <c r="B174" s="1420" t="s">
        <v>1252</v>
      </c>
      <c r="C174" s="1444">
        <v>22</v>
      </c>
      <c r="D174" s="1187"/>
      <c r="E174" s="46">
        <v>27</v>
      </c>
      <c r="F174" s="46"/>
      <c r="G174" s="46">
        <v>0.42</v>
      </c>
      <c r="H174" s="46"/>
      <c r="I174" s="1419">
        <f t="shared" si="71"/>
        <v>91060.2</v>
      </c>
      <c r="J174" s="1187"/>
      <c r="K174" s="1419">
        <f t="shared" si="72"/>
        <v>0.18212040000000002</v>
      </c>
      <c r="L174" s="1187"/>
      <c r="M174" s="1424">
        <f>C174*(1-BW149)*E174*G174*365</f>
        <v>0</v>
      </c>
      <c r="N174" s="1187"/>
      <c r="O174" s="1419">
        <f>C174*(BW149)*E174*G174*365</f>
        <v>91060.2</v>
      </c>
      <c r="P174" s="1187"/>
      <c r="Q174" s="107" t="s">
        <v>809</v>
      </c>
      <c r="R174" s="1034"/>
      <c r="S174" s="1424">
        <f t="shared" si="73"/>
        <v>0</v>
      </c>
      <c r="T174" s="1446"/>
      <c r="U174" s="1424">
        <f t="shared" si="74"/>
        <v>1.821204</v>
      </c>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c r="BS174" s="46"/>
      <c r="BT174" s="46"/>
      <c r="BU174" s="46"/>
      <c r="BV174" s="46"/>
      <c r="BW174" s="46"/>
      <c r="BX174" s="46"/>
      <c r="BY174" s="46"/>
      <c r="BZ174" s="46"/>
      <c r="CA174" s="46"/>
      <c r="CB174" s="46"/>
      <c r="CC174" s="46"/>
    </row>
    <row r="175" spans="1:81" ht="11.25" customHeight="1">
      <c r="A175" s="46"/>
      <c r="B175" s="1420" t="s">
        <v>1224</v>
      </c>
      <c r="C175" s="1444">
        <v>9.6010000000000009</v>
      </c>
      <c r="D175" s="1187"/>
      <c r="E175" s="46">
        <v>64</v>
      </c>
      <c r="F175" s="46"/>
      <c r="G175" s="46">
        <v>0.45</v>
      </c>
      <c r="H175" s="46"/>
      <c r="I175" s="1419">
        <f t="shared" si="71"/>
        <v>100925.712</v>
      </c>
      <c r="J175" s="1187"/>
      <c r="K175" s="1419">
        <f t="shared" si="72"/>
        <v>0.201851424</v>
      </c>
      <c r="L175" s="1187"/>
      <c r="M175" s="1419" t="s">
        <v>809</v>
      </c>
      <c r="N175" s="1187"/>
      <c r="O175" s="1419">
        <f>C175*(BZ149)*E175*G175*365</f>
        <v>100925.712</v>
      </c>
      <c r="P175" s="1187"/>
      <c r="Q175" s="107" t="s">
        <v>809</v>
      </c>
      <c r="R175" s="1034"/>
      <c r="S175" s="1419" t="s">
        <v>809</v>
      </c>
      <c r="T175" s="1446"/>
      <c r="U175" s="1424">
        <f t="shared" si="74"/>
        <v>2.01851424</v>
      </c>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row>
    <row r="176" spans="1:81" ht="12" customHeight="1">
      <c r="A176" s="46"/>
      <c r="B176" s="1420" t="s">
        <v>1226</v>
      </c>
      <c r="C176" s="1444">
        <v>65.510999999999996</v>
      </c>
      <c r="D176" s="1187"/>
      <c r="E176" s="46">
        <v>450</v>
      </c>
      <c r="F176" s="46"/>
      <c r="G176" s="46">
        <v>0.3</v>
      </c>
      <c r="H176" s="46"/>
      <c r="I176" s="1419">
        <f t="shared" si="71"/>
        <v>3228054.5249999994</v>
      </c>
      <c r="J176" s="1187"/>
      <c r="K176" s="1419">
        <f t="shared" si="72"/>
        <v>6.4561090499999993</v>
      </c>
      <c r="L176" s="1187"/>
      <c r="M176" s="1419" t="s">
        <v>809</v>
      </c>
      <c r="N176" s="1187"/>
      <c r="O176" s="1419">
        <f>C176*CC149*E176*G176*365</f>
        <v>3228054.5249999994</v>
      </c>
      <c r="P176" s="1187"/>
      <c r="Q176" s="107" t="s">
        <v>809</v>
      </c>
      <c r="R176" s="1034"/>
      <c r="S176" s="1471" t="s">
        <v>809</v>
      </c>
      <c r="T176" s="1446"/>
      <c r="U176" s="1424">
        <f t="shared" si="74"/>
        <v>64.561090499999992</v>
      </c>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row>
    <row r="177" spans="1:81" ht="12" customHeight="1">
      <c r="A177" s="46"/>
      <c r="B177" s="97" t="s">
        <v>725</v>
      </c>
      <c r="C177" s="1203"/>
      <c r="D177" s="1187"/>
      <c r="E177" s="46"/>
      <c r="F177" s="46"/>
      <c r="G177" s="46"/>
      <c r="H177" s="46"/>
      <c r="I177" s="1416">
        <f>SUM(I149:I176)</f>
        <v>39420248.386150002</v>
      </c>
      <c r="J177" s="1187"/>
      <c r="K177" s="1416">
        <f>SUM(K149:K176)</f>
        <v>78.840496772300014</v>
      </c>
      <c r="L177" s="46"/>
      <c r="M177" s="1416">
        <f>SUM(M149:M176)</f>
        <v>26211929.699951574</v>
      </c>
      <c r="N177" s="1187"/>
      <c r="O177" s="1416">
        <f>SUM(O149:O176)</f>
        <v>9477687.9488774259</v>
      </c>
      <c r="P177" s="46"/>
      <c r="Q177" s="1416">
        <f>SUM(Q149:Q176)</f>
        <v>3730630.7373210033</v>
      </c>
      <c r="R177" s="1187"/>
      <c r="S177" s="1472">
        <f>SUM(S149:S176)</f>
        <v>290.46593192492281</v>
      </c>
      <c r="T177" s="1259"/>
      <c r="U177" s="1416">
        <f>SUM(U149:U176)</f>
        <v>189.55375897754851</v>
      </c>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6"/>
    </row>
    <row r="178" spans="1:81" ht="11.25" customHeight="1">
      <c r="A178" s="46"/>
      <c r="B178" s="97"/>
      <c r="C178" s="1203"/>
      <c r="D178" s="1187"/>
      <c r="E178" s="1241"/>
      <c r="F178" s="1187"/>
      <c r="G178" s="1241"/>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6"/>
    </row>
    <row r="179" spans="1:81" ht="11.25" customHeight="1">
      <c r="A179" s="46"/>
      <c r="B179" s="1370" t="s">
        <v>1380</v>
      </c>
      <c r="C179" s="1372"/>
      <c r="D179" s="1371"/>
      <c r="E179" s="1371"/>
      <c r="F179" s="1371"/>
      <c r="G179" s="1371"/>
      <c r="H179" s="1371"/>
      <c r="I179" s="1371"/>
      <c r="J179" s="1371"/>
      <c r="K179" s="1371"/>
      <c r="L179" s="1371"/>
      <c r="M179" s="1371"/>
      <c r="N179" s="1371"/>
      <c r="O179" s="1371"/>
      <c r="P179" s="1371"/>
      <c r="Q179" s="1371"/>
      <c r="R179" s="1473"/>
      <c r="S179" s="1371"/>
      <c r="T179" s="1371"/>
      <c r="U179" s="1371"/>
      <c r="V179" s="1371"/>
      <c r="W179" s="1371"/>
      <c r="X179" s="1371"/>
      <c r="Y179" s="1371"/>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6"/>
      <c r="BZ179" s="46"/>
      <c r="CA179" s="46"/>
      <c r="CB179" s="46"/>
      <c r="CC179" s="46"/>
    </row>
    <row r="180" spans="1:81" ht="47.25" customHeight="1">
      <c r="A180" s="46"/>
      <c r="B180" s="46"/>
      <c r="C180" s="1399"/>
      <c r="D180" s="1400"/>
      <c r="E180" s="46"/>
      <c r="F180" s="1187"/>
      <c r="G180" s="1219" t="s">
        <v>1381</v>
      </c>
      <c r="H180" s="97"/>
      <c r="I180" s="1219" t="s">
        <v>1382</v>
      </c>
      <c r="J180" s="97"/>
      <c r="K180" s="1219" t="s">
        <v>1383</v>
      </c>
      <c r="L180" s="97"/>
      <c r="M180" s="97"/>
      <c r="N180" s="1241"/>
      <c r="O180" s="1219" t="s">
        <v>1384</v>
      </c>
      <c r="P180" s="97"/>
      <c r="Q180" s="1219" t="s">
        <v>1385</v>
      </c>
      <c r="R180" s="1241"/>
      <c r="S180" s="1219" t="s">
        <v>1386</v>
      </c>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46"/>
      <c r="CB180" s="46"/>
      <c r="CC180" s="46"/>
    </row>
    <row r="181" spans="1:81" ht="12" customHeight="1">
      <c r="A181" s="46"/>
      <c r="B181" s="1408"/>
      <c r="C181" s="1727" t="s">
        <v>1387</v>
      </c>
      <c r="D181" s="1660"/>
      <c r="E181" s="1660"/>
      <c r="F181" s="1187"/>
      <c r="G181" s="1416">
        <f>K177*44/28</f>
        <v>123.89220921361432</v>
      </c>
      <c r="H181" s="46"/>
      <c r="I181" s="1417">
        <f>G181*$Z$8*12/44*10^-6</f>
        <v>8.954027847711217E-3</v>
      </c>
      <c r="J181" s="46"/>
      <c r="K181" s="1417">
        <f t="shared" ref="K181:K184" si="75">I181/(12/44)</f>
        <v>3.2831435441607798E-2</v>
      </c>
      <c r="L181" s="46"/>
      <c r="M181" s="46"/>
      <c r="N181" s="1474" t="s">
        <v>1388</v>
      </c>
      <c r="O181" s="1416">
        <f>W156*44/28</f>
        <v>302.38061220340541</v>
      </c>
      <c r="P181" s="46"/>
      <c r="Q181" s="1417">
        <f>O181*$Z$8*12/44*10^-6</f>
        <v>2.1853871518337026E-2</v>
      </c>
      <c r="R181" s="46"/>
      <c r="S181" s="1417">
        <f t="shared" ref="S181:S183" si="76">Q181/(12/44)</f>
        <v>8.0130862233902436E-2</v>
      </c>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46"/>
      <c r="BU181" s="46"/>
      <c r="BV181" s="46"/>
      <c r="BW181" s="46"/>
      <c r="BX181" s="46"/>
      <c r="BY181" s="46"/>
      <c r="BZ181" s="46"/>
      <c r="CA181" s="46"/>
      <c r="CB181" s="46"/>
      <c r="CC181" s="46"/>
    </row>
    <row r="182" spans="1:81" ht="13.5" customHeight="1">
      <c r="A182" s="46"/>
      <c r="B182" s="1420"/>
      <c r="C182" s="46"/>
      <c r="D182" s="46"/>
      <c r="E182" s="1464" t="s">
        <v>1389</v>
      </c>
      <c r="F182" s="1187"/>
      <c r="G182" s="1475">
        <f>(U177+S177)*44/28</f>
        <v>754.31665713245491</v>
      </c>
      <c r="H182" s="46"/>
      <c r="I182" s="1417">
        <f>G182*$Z$8*12/44*10^-6</f>
        <v>5.4516522038209239E-2</v>
      </c>
      <c r="J182" s="46"/>
      <c r="K182" s="1476">
        <f t="shared" si="75"/>
        <v>0.19989391414010055</v>
      </c>
      <c r="L182" s="46"/>
      <c r="M182" s="46"/>
      <c r="N182" s="1464" t="s">
        <v>1390</v>
      </c>
      <c r="O182" s="1477">
        <f>SUM(W151)*0.0075*44/28</f>
        <v>163.00187683808937</v>
      </c>
      <c r="P182" s="46"/>
      <c r="Q182" s="1477">
        <f>O182*$Z$8*12/44*10^-6</f>
        <v>1.1780590189661915E-2</v>
      </c>
      <c r="R182" s="46"/>
      <c r="S182" s="1477">
        <f t="shared" si="76"/>
        <v>4.3195497362093695E-2</v>
      </c>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c r="BH182" s="46"/>
      <c r="BI182" s="46"/>
      <c r="BJ182" s="46"/>
      <c r="BK182" s="46"/>
      <c r="BL182" s="46"/>
      <c r="BM182" s="46"/>
      <c r="BN182" s="46"/>
      <c r="BO182" s="46"/>
      <c r="BP182" s="46"/>
      <c r="BQ182" s="46"/>
      <c r="BR182" s="46"/>
      <c r="BS182" s="46"/>
      <c r="BT182" s="46"/>
      <c r="BU182" s="46"/>
      <c r="BV182" s="46"/>
      <c r="BW182" s="46"/>
      <c r="BX182" s="46"/>
      <c r="BY182" s="46"/>
      <c r="BZ182" s="46"/>
      <c r="CA182" s="46"/>
      <c r="CB182" s="46"/>
      <c r="CC182" s="46"/>
    </row>
    <row r="183" spans="1:81" ht="13.5" customHeight="1">
      <c r="A183" s="46"/>
      <c r="B183" s="1420"/>
      <c r="C183" s="46"/>
      <c r="D183" s="46"/>
      <c r="E183" s="1464" t="s">
        <v>1391</v>
      </c>
      <c r="F183" s="1187"/>
      <c r="G183" s="1478">
        <f>U177*44/28</f>
        <v>297.87019267900484</v>
      </c>
      <c r="H183" s="46"/>
      <c r="I183" s="1417">
        <f>G183*$Z$8*12/44*10^-6</f>
        <v>2.1527891198164437E-2</v>
      </c>
      <c r="J183" s="46"/>
      <c r="K183" s="1476">
        <f t="shared" si="75"/>
        <v>7.8935601059936272E-2</v>
      </c>
      <c r="L183" s="46"/>
      <c r="M183" s="46"/>
      <c r="N183" s="1464" t="s">
        <v>1392</v>
      </c>
      <c r="O183" s="1419">
        <f>SUM(W154)*0.0075*44/28</f>
        <v>139.37873536531609</v>
      </c>
      <c r="P183" s="46"/>
      <c r="Q183" s="1419">
        <f>O183*$Z$8*12/44*10^-6</f>
        <v>1.0073281328675117E-2</v>
      </c>
      <c r="R183" s="46"/>
      <c r="S183" s="1419">
        <f t="shared" si="76"/>
        <v>3.6935364871808762E-2</v>
      </c>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6"/>
      <c r="BO183" s="46"/>
      <c r="BP183" s="46"/>
      <c r="BQ183" s="46"/>
      <c r="BR183" s="46"/>
      <c r="BS183" s="46"/>
      <c r="BT183" s="46"/>
      <c r="BU183" s="46"/>
      <c r="BV183" s="46"/>
      <c r="BW183" s="46"/>
      <c r="BX183" s="46"/>
      <c r="BY183" s="46"/>
      <c r="BZ183" s="46"/>
      <c r="CA183" s="46"/>
      <c r="CB183" s="46"/>
      <c r="CC183" s="46"/>
    </row>
    <row r="184" spans="1:81" ht="12" customHeight="1">
      <c r="A184" s="46"/>
      <c r="B184" s="1408"/>
      <c r="C184" s="1727" t="s">
        <v>1393</v>
      </c>
      <c r="D184" s="1660"/>
      <c r="E184" s="1660"/>
      <c r="F184" s="1187"/>
      <c r="G184" s="1479">
        <f>SUM(G182:G183)</f>
        <v>1052.1868498114598</v>
      </c>
      <c r="H184" s="46"/>
      <c r="I184" s="1417">
        <f>G184*$Z$8*12/44*10^-6</f>
        <v>7.6044413236373662E-2</v>
      </c>
      <c r="J184" s="1187"/>
      <c r="K184" s="1417">
        <f t="shared" si="75"/>
        <v>0.27882951520003679</v>
      </c>
      <c r="L184" s="46"/>
      <c r="M184" s="1187"/>
      <c r="N184" s="46"/>
      <c r="O184" s="46"/>
      <c r="P184" s="1187"/>
      <c r="Q184" s="1187"/>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6"/>
    </row>
    <row r="185" spans="1:81" ht="12" customHeight="1">
      <c r="A185" s="16"/>
      <c r="B185" s="1296"/>
      <c r="C185" s="1297"/>
      <c r="D185" s="1298"/>
      <c r="E185" s="1298"/>
      <c r="F185" s="1298"/>
      <c r="G185" s="1299"/>
      <c r="H185" s="1300"/>
      <c r="I185" s="1301"/>
      <c r="J185" s="1300"/>
      <c r="K185" s="1302"/>
      <c r="L185" s="16"/>
      <c r="M185" s="1302"/>
      <c r="N185" s="16"/>
      <c r="O185" s="16"/>
      <c r="P185" s="16"/>
      <c r="Q185" s="16"/>
      <c r="R185" s="16"/>
      <c r="S185" s="16"/>
      <c r="T185" s="16"/>
      <c r="U185" s="16"/>
    </row>
    <row r="186" spans="1:81" ht="21" customHeight="1">
      <c r="B186" s="1480" t="s">
        <v>1394</v>
      </c>
      <c r="C186" s="1303"/>
      <c r="D186" s="1304"/>
      <c r="E186" s="1304"/>
      <c r="F186" s="1304"/>
      <c r="G186" s="1427"/>
      <c r="H186" s="307"/>
      <c r="I186" s="1306"/>
      <c r="J186" s="307"/>
      <c r="K186" s="1307"/>
      <c r="M186" s="1307"/>
      <c r="AH186" s="1250" t="s">
        <v>1336</v>
      </c>
    </row>
    <row r="187" spans="1:81" ht="36.75" customHeight="1">
      <c r="A187" s="1481"/>
      <c r="B187" s="1181" t="s">
        <v>1395</v>
      </c>
      <c r="C187" s="1241" t="s">
        <v>245</v>
      </c>
      <c r="D187" s="46"/>
      <c r="E187" s="1182" t="s">
        <v>1396</v>
      </c>
      <c r="F187" s="1182"/>
      <c r="G187" s="1182" t="s">
        <v>1397</v>
      </c>
      <c r="H187" s="46"/>
      <c r="I187" s="1182" t="s">
        <v>1398</v>
      </c>
      <c r="J187" s="1182"/>
      <c r="K187" s="1182" t="s">
        <v>1399</v>
      </c>
      <c r="L187" s="97"/>
      <c r="M187" s="1182" t="s">
        <v>1400</v>
      </c>
      <c r="N187" s="97"/>
      <c r="O187" s="1182" t="s">
        <v>1401</v>
      </c>
      <c r="P187" s="97"/>
      <c r="Q187" s="1182" t="s">
        <v>1402</v>
      </c>
      <c r="R187" s="46"/>
      <c r="S187" s="1182" t="s">
        <v>1403</v>
      </c>
      <c r="T187" s="46"/>
      <c r="U187" s="1426" t="s">
        <v>1404</v>
      </c>
      <c r="V187" s="46"/>
      <c r="W187" s="1426" t="s">
        <v>1405</v>
      </c>
      <c r="X187" s="46"/>
      <c r="Y187" s="1182" t="s">
        <v>1406</v>
      </c>
      <c r="Z187" s="46"/>
      <c r="AA187" s="1182" t="s">
        <v>1407</v>
      </c>
      <c r="AB187" s="97"/>
      <c r="AC187" s="1182" t="s">
        <v>1408</v>
      </c>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6"/>
      <c r="CC187" s="46"/>
    </row>
    <row r="188" spans="1:81" ht="11.25" customHeight="1">
      <c r="A188" s="1481"/>
      <c r="B188" s="46"/>
      <c r="C188" s="46"/>
      <c r="D188" s="46"/>
      <c r="E188" s="1187"/>
      <c r="F188" s="1187"/>
      <c r="G188" s="46"/>
      <c r="H188" s="46"/>
      <c r="I188" s="46"/>
      <c r="J188" s="46"/>
      <c r="K188" s="46"/>
      <c r="L188" s="46"/>
      <c r="M188" s="35"/>
      <c r="N188" s="46"/>
      <c r="O188" s="46"/>
      <c r="P188" s="46"/>
      <c r="Q188" s="46"/>
      <c r="R188" s="46"/>
      <c r="S188" s="46"/>
      <c r="T188" s="46"/>
      <c r="U188" s="1034"/>
      <c r="V188" s="46"/>
      <c r="W188" s="1034"/>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6"/>
    </row>
    <row r="189" spans="1:81" ht="11.25" customHeight="1">
      <c r="A189" s="1481"/>
      <c r="B189" s="1420" t="s">
        <v>1409</v>
      </c>
      <c r="C189" s="46" t="s">
        <v>1283</v>
      </c>
      <c r="D189" s="46"/>
      <c r="E189" s="1482">
        <v>2784</v>
      </c>
      <c r="F189" s="1187" t="s">
        <v>58</v>
      </c>
      <c r="G189" s="46">
        <v>2.1772E-2</v>
      </c>
      <c r="H189" s="46"/>
      <c r="I189" s="1419">
        <f t="shared" ref="I189:I190" si="77">E189*G189*1000</f>
        <v>60613.248</v>
      </c>
      <c r="J189" s="1187" t="s">
        <v>57</v>
      </c>
      <c r="K189" s="1483">
        <v>1.2</v>
      </c>
      <c r="L189" s="1187" t="s">
        <v>57</v>
      </c>
      <c r="M189" s="1484">
        <v>0.03</v>
      </c>
      <c r="N189" s="1187" t="s">
        <v>57</v>
      </c>
      <c r="O189" s="107">
        <v>0.93</v>
      </c>
      <c r="P189" s="1187" t="s">
        <v>57</v>
      </c>
      <c r="Q189" s="1485">
        <v>0.93</v>
      </c>
      <c r="R189" s="1187" t="s">
        <v>57</v>
      </c>
      <c r="S189" s="1485">
        <v>0.88</v>
      </c>
      <c r="T189" s="1187" t="s">
        <v>58</v>
      </c>
      <c r="U189" s="1486">
        <v>0.44850000000000001</v>
      </c>
      <c r="V189" s="1187" t="s">
        <v>58</v>
      </c>
      <c r="W189" s="1419">
        <f t="shared" ref="W189:W197" si="78">I189*K189*M189*O189*Q189*S189*U189</f>
        <v>744.87101326853542</v>
      </c>
      <c r="X189" s="1187" t="s">
        <v>58</v>
      </c>
      <c r="Y189" s="1487">
        <v>4.9658067551235696</v>
      </c>
      <c r="Z189" s="1488" t="s">
        <v>58</v>
      </c>
      <c r="AA189" s="1489">
        <f t="shared" ref="AA189:AA197" si="79">Y189/(10^6)*$Z$7*12/44</f>
        <v>3.7920706130034534E-5</v>
      </c>
      <c r="AB189" s="1488" t="s">
        <v>58</v>
      </c>
      <c r="AC189" s="1489">
        <f t="shared" ref="AC189:AC197" si="80">AA189/(12/44)</f>
        <v>1.3904258914345996E-4</v>
      </c>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6"/>
    </row>
    <row r="190" spans="1:81" ht="11.25" customHeight="1">
      <c r="A190" s="1481"/>
      <c r="B190" s="1420" t="s">
        <v>1410</v>
      </c>
      <c r="C190" s="46" t="s">
        <v>1283</v>
      </c>
      <c r="D190" s="46"/>
      <c r="E190" s="1482">
        <v>60350</v>
      </c>
      <c r="F190" s="1187" t="s">
        <v>58</v>
      </c>
      <c r="G190" s="46">
        <v>2.5401147108E-2</v>
      </c>
      <c r="H190" s="46"/>
      <c r="I190" s="1419">
        <f t="shared" si="77"/>
        <v>1532959.2279677999</v>
      </c>
      <c r="J190" s="1187" t="s">
        <v>57</v>
      </c>
      <c r="K190" s="1483">
        <v>1</v>
      </c>
      <c r="L190" s="1187" t="s">
        <v>57</v>
      </c>
      <c r="M190" s="1484">
        <v>0.03</v>
      </c>
      <c r="N190" s="1187" t="s">
        <v>57</v>
      </c>
      <c r="O190" s="107">
        <v>0.91</v>
      </c>
      <c r="P190" s="1187" t="s">
        <v>57</v>
      </c>
      <c r="Q190" s="1485">
        <v>0.93</v>
      </c>
      <c r="R190" s="1187" t="s">
        <v>57</v>
      </c>
      <c r="S190" s="1485">
        <v>0.88</v>
      </c>
      <c r="T190" s="1187" t="s">
        <v>58</v>
      </c>
      <c r="U190" s="1486">
        <v>0.44779999999999998</v>
      </c>
      <c r="V190" s="1187" t="s">
        <v>58</v>
      </c>
      <c r="W190" s="1419">
        <f t="shared" si="78"/>
        <v>15337.089823834229</v>
      </c>
      <c r="X190" s="1187" t="s">
        <v>58</v>
      </c>
      <c r="Y190" s="1487">
        <v>102.24726549222818</v>
      </c>
      <c r="Z190" s="1488" t="s">
        <v>58</v>
      </c>
      <c r="AA190" s="1489">
        <f t="shared" si="79"/>
        <v>7.8079730012246969E-4</v>
      </c>
      <c r="AB190" s="1488" t="s">
        <v>58</v>
      </c>
      <c r="AC190" s="1489">
        <f t="shared" si="80"/>
        <v>2.8629234337823892E-3</v>
      </c>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c r="BS190" s="46"/>
      <c r="BT190" s="46"/>
      <c r="BU190" s="46"/>
      <c r="BV190" s="46"/>
      <c r="BW190" s="46"/>
      <c r="BX190" s="46"/>
      <c r="BY190" s="46"/>
      <c r="BZ190" s="46"/>
      <c r="CA190" s="46"/>
      <c r="CB190" s="46"/>
      <c r="CC190" s="46"/>
    </row>
    <row r="191" spans="1:81" ht="11.25" customHeight="1">
      <c r="A191" s="1481"/>
      <c r="B191" s="1420" t="s">
        <v>1294</v>
      </c>
      <c r="C191" s="46" t="s">
        <v>1411</v>
      </c>
      <c r="D191" s="46"/>
      <c r="E191" s="1482">
        <v>0</v>
      </c>
      <c r="F191" s="1187" t="s">
        <v>58</v>
      </c>
      <c r="G191" s="46" t="s">
        <v>809</v>
      </c>
      <c r="H191" s="46"/>
      <c r="I191" s="1419">
        <f>(E191*1000/2000*0.9072)</f>
        <v>0</v>
      </c>
      <c r="J191" s="1187" t="s">
        <v>57</v>
      </c>
      <c r="K191" s="1483">
        <v>1</v>
      </c>
      <c r="L191" s="1187" t="s">
        <v>57</v>
      </c>
      <c r="M191" s="1484">
        <v>0.03</v>
      </c>
      <c r="N191" s="1187" t="s">
        <v>57</v>
      </c>
      <c r="O191" s="107">
        <v>0.86</v>
      </c>
      <c r="P191" s="1187" t="s">
        <v>57</v>
      </c>
      <c r="Q191" s="1485">
        <v>0.93</v>
      </c>
      <c r="R191" s="1187" t="s">
        <v>57</v>
      </c>
      <c r="S191" s="1485">
        <v>0.88</v>
      </c>
      <c r="T191" s="1187" t="s">
        <v>58</v>
      </c>
      <c r="U191" s="1486">
        <v>0.45</v>
      </c>
      <c r="V191" s="1187" t="s">
        <v>58</v>
      </c>
      <c r="W191" s="1419">
        <f t="shared" si="78"/>
        <v>0</v>
      </c>
      <c r="X191" s="1187" t="s">
        <v>58</v>
      </c>
      <c r="Y191" s="1487">
        <v>0</v>
      </c>
      <c r="Z191" s="1488" t="s">
        <v>58</v>
      </c>
      <c r="AA191" s="1489">
        <f t="shared" si="79"/>
        <v>0</v>
      </c>
      <c r="AB191" s="1488" t="s">
        <v>58</v>
      </c>
      <c r="AC191" s="1489">
        <f t="shared" si="80"/>
        <v>0</v>
      </c>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6"/>
    </row>
    <row r="192" spans="1:81" ht="11.25" customHeight="1">
      <c r="A192" s="1481"/>
      <c r="B192" s="1420" t="s">
        <v>1291</v>
      </c>
      <c r="C192" s="46" t="s">
        <v>1412</v>
      </c>
      <c r="D192" s="46"/>
      <c r="E192" s="1482">
        <v>0</v>
      </c>
      <c r="F192" s="1187" t="s">
        <v>58</v>
      </c>
      <c r="G192" s="46" t="s">
        <v>809</v>
      </c>
      <c r="H192" s="46"/>
      <c r="I192" s="1419">
        <v>0</v>
      </c>
      <c r="J192" s="1187" t="s">
        <v>57</v>
      </c>
      <c r="K192" s="1483">
        <v>1.4</v>
      </c>
      <c r="L192" s="1187" t="s">
        <v>57</v>
      </c>
      <c r="M192" s="1484">
        <v>0</v>
      </c>
      <c r="N192" s="1187" t="s">
        <v>57</v>
      </c>
      <c r="O192" s="107">
        <v>0.91</v>
      </c>
      <c r="P192" s="1187" t="s">
        <v>57</v>
      </c>
      <c r="Q192" s="1485">
        <v>0.93</v>
      </c>
      <c r="R192" s="1187" t="s">
        <v>57</v>
      </c>
      <c r="S192" s="1485">
        <v>0.88</v>
      </c>
      <c r="T192" s="1187" t="s">
        <v>58</v>
      </c>
      <c r="U192" s="1486">
        <v>0.38059999999999999</v>
      </c>
      <c r="V192" s="1187" t="s">
        <v>58</v>
      </c>
      <c r="W192" s="1419">
        <f t="shared" si="78"/>
        <v>0</v>
      </c>
      <c r="X192" s="1187" t="s">
        <v>58</v>
      </c>
      <c r="Y192" s="1487">
        <v>0</v>
      </c>
      <c r="Z192" s="1488" t="s">
        <v>58</v>
      </c>
      <c r="AA192" s="1489">
        <f t="shared" si="79"/>
        <v>0</v>
      </c>
      <c r="AB192" s="1488" t="s">
        <v>58</v>
      </c>
      <c r="AC192" s="1489">
        <f t="shared" si="80"/>
        <v>0</v>
      </c>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6"/>
      <c r="BZ192" s="46"/>
      <c r="CA192" s="46"/>
      <c r="CB192" s="46"/>
      <c r="CC192" s="46"/>
    </row>
    <row r="193" spans="1:81" ht="11.25" customHeight="1">
      <c r="A193" s="1481"/>
      <c r="B193" s="1420" t="s">
        <v>1413</v>
      </c>
      <c r="C193" s="46" t="s">
        <v>1283</v>
      </c>
      <c r="D193" s="46"/>
      <c r="E193" s="1482">
        <v>15810</v>
      </c>
      <c r="F193" s="1187" t="s">
        <v>58</v>
      </c>
      <c r="G193" s="46">
        <v>2.7215692074999999E-2</v>
      </c>
      <c r="H193" s="46"/>
      <c r="I193" s="1419">
        <f>E193*G193*1000</f>
        <v>430280.09170575003</v>
      </c>
      <c r="J193" s="1187" t="s">
        <v>57</v>
      </c>
      <c r="K193" s="1483">
        <v>2.1</v>
      </c>
      <c r="L193" s="1187" t="s">
        <v>57</v>
      </c>
      <c r="M193" s="1484">
        <v>0.03</v>
      </c>
      <c r="N193" s="1187" t="s">
        <v>57</v>
      </c>
      <c r="O193" s="107">
        <v>0.87</v>
      </c>
      <c r="P193" s="1187" t="s">
        <v>57</v>
      </c>
      <c r="Q193" s="1485">
        <v>0.93</v>
      </c>
      <c r="R193" s="1187" t="s">
        <v>57</v>
      </c>
      <c r="S193" s="1485">
        <v>0.88</v>
      </c>
      <c r="T193" s="1187" t="s">
        <v>58</v>
      </c>
      <c r="U193" s="1486">
        <v>0.45</v>
      </c>
      <c r="V193" s="1187" t="s">
        <v>58</v>
      </c>
      <c r="W193" s="1419">
        <f t="shared" si="78"/>
        <v>8685.3872946237061</v>
      </c>
      <c r="X193" s="1187" t="s">
        <v>58</v>
      </c>
      <c r="Y193" s="1487">
        <v>57.902581964158038</v>
      </c>
      <c r="Z193" s="1488" t="s">
        <v>58</v>
      </c>
      <c r="AA193" s="1489">
        <f t="shared" si="79"/>
        <v>4.4216517136266143E-4</v>
      </c>
      <c r="AB193" s="1488" t="s">
        <v>58</v>
      </c>
      <c r="AC193" s="1489">
        <f t="shared" si="80"/>
        <v>1.6212722949964253E-3</v>
      </c>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6"/>
      <c r="CC193" s="46"/>
    </row>
    <row r="194" spans="1:81" ht="11.25" customHeight="1">
      <c r="A194" s="1481"/>
      <c r="B194" s="1420" t="s">
        <v>1414</v>
      </c>
      <c r="C194" s="46" t="s">
        <v>1280</v>
      </c>
      <c r="D194" s="46"/>
      <c r="E194" s="1482">
        <v>0</v>
      </c>
      <c r="F194" s="1187" t="s">
        <v>58</v>
      </c>
      <c r="G194" s="46" t="s">
        <v>809</v>
      </c>
      <c r="H194" s="46"/>
      <c r="I194" s="1419">
        <f>E194*0.9072*1000</f>
        <v>0</v>
      </c>
      <c r="J194" s="1187" t="s">
        <v>57</v>
      </c>
      <c r="K194" s="1483">
        <v>0.8</v>
      </c>
      <c r="L194" s="1187" t="s">
        <v>57</v>
      </c>
      <c r="M194" s="1484">
        <v>0.03</v>
      </c>
      <c r="N194" s="1187" t="s">
        <v>57</v>
      </c>
      <c r="O194" s="107">
        <v>0.62</v>
      </c>
      <c r="P194" s="1187" t="s">
        <v>57</v>
      </c>
      <c r="Q194" s="1485">
        <v>0.93</v>
      </c>
      <c r="R194" s="1187" t="s">
        <v>57</v>
      </c>
      <c r="S194" s="1485">
        <v>0.88</v>
      </c>
      <c r="T194" s="1187" t="s">
        <v>58</v>
      </c>
      <c r="U194" s="1486">
        <v>0.42349999999999999</v>
      </c>
      <c r="V194" s="1187" t="s">
        <v>58</v>
      </c>
      <c r="W194" s="1419">
        <f t="shared" si="78"/>
        <v>0</v>
      </c>
      <c r="X194" s="1187" t="s">
        <v>58</v>
      </c>
      <c r="Y194" s="1487">
        <v>0</v>
      </c>
      <c r="Z194" s="1488" t="s">
        <v>58</v>
      </c>
      <c r="AA194" s="1489">
        <f t="shared" si="79"/>
        <v>0</v>
      </c>
      <c r="AB194" s="1488" t="s">
        <v>58</v>
      </c>
      <c r="AC194" s="1489">
        <f t="shared" si="80"/>
        <v>0</v>
      </c>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6"/>
      <c r="BZ194" s="46"/>
      <c r="CA194" s="46"/>
      <c r="CB194" s="46"/>
      <c r="CC194" s="46"/>
    </row>
    <row r="195" spans="1:81" ht="11.25" customHeight="1">
      <c r="A195" s="1481"/>
      <c r="B195" s="1420" t="s">
        <v>1415</v>
      </c>
      <c r="C195" s="46" t="s">
        <v>1283</v>
      </c>
      <c r="D195" s="46"/>
      <c r="E195" s="1482">
        <v>8500</v>
      </c>
      <c r="F195" s="1187" t="s">
        <v>58</v>
      </c>
      <c r="G195" s="46">
        <v>2.7215442853E-2</v>
      </c>
      <c r="H195" s="46"/>
      <c r="I195" s="1419">
        <f>E195*G195*1000</f>
        <v>231331.26425050001</v>
      </c>
      <c r="J195" s="1187" t="s">
        <v>57</v>
      </c>
      <c r="K195" s="1483">
        <v>1.3</v>
      </c>
      <c r="L195" s="1187" t="s">
        <v>57</v>
      </c>
      <c r="M195" s="1484">
        <v>0.03</v>
      </c>
      <c r="N195" s="1187" t="s">
        <v>57</v>
      </c>
      <c r="O195" s="107">
        <v>0.93</v>
      </c>
      <c r="P195" s="1187" t="s">
        <v>57</v>
      </c>
      <c r="Q195" s="1485">
        <v>0.93</v>
      </c>
      <c r="R195" s="1187" t="s">
        <v>57</v>
      </c>
      <c r="S195" s="1485">
        <v>0.88</v>
      </c>
      <c r="T195" s="1187" t="s">
        <v>58</v>
      </c>
      <c r="U195" s="1486">
        <v>0.44280000000000003</v>
      </c>
      <c r="V195" s="1187" t="s">
        <v>58</v>
      </c>
      <c r="W195" s="1419">
        <f t="shared" si="78"/>
        <v>3040.5707954578766</v>
      </c>
      <c r="X195" s="1187" t="s">
        <v>58</v>
      </c>
      <c r="Y195" s="1487">
        <v>20.270471969719175</v>
      </c>
      <c r="Z195" s="1488" t="s">
        <v>58</v>
      </c>
      <c r="AA195" s="1489">
        <f t="shared" si="79"/>
        <v>1.5479269504149187E-4</v>
      </c>
      <c r="AB195" s="1488" t="s">
        <v>58</v>
      </c>
      <c r="AC195" s="1489">
        <f t="shared" si="80"/>
        <v>5.6757321515213692E-4</v>
      </c>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6"/>
      <c r="BZ195" s="46"/>
      <c r="CA195" s="46"/>
      <c r="CB195" s="46"/>
      <c r="CC195" s="46"/>
    </row>
    <row r="196" spans="1:81" ht="11.25" customHeight="1">
      <c r="A196" s="1481"/>
      <c r="B196" s="1420" t="s">
        <v>592</v>
      </c>
      <c r="C196" s="46" t="s">
        <v>1302</v>
      </c>
      <c r="D196" s="46"/>
      <c r="E196" s="1482"/>
      <c r="F196" s="1187" t="s">
        <v>58</v>
      </c>
      <c r="G196" s="46" t="s">
        <v>809</v>
      </c>
      <c r="H196" s="46"/>
      <c r="I196" s="1419">
        <f t="shared" ref="I196:I197" si="81">E196</f>
        <v>0</v>
      </c>
      <c r="J196" s="1187" t="s">
        <v>57</v>
      </c>
      <c r="K196" s="1490"/>
      <c r="L196" s="1187" t="s">
        <v>57</v>
      </c>
      <c r="M196" s="1491"/>
      <c r="N196" s="1187" t="s">
        <v>57</v>
      </c>
      <c r="O196" s="1492"/>
      <c r="P196" s="1187" t="s">
        <v>57</v>
      </c>
      <c r="Q196" s="1493"/>
      <c r="R196" s="1187" t="s">
        <v>57</v>
      </c>
      <c r="S196" s="1494"/>
      <c r="T196" s="1187" t="s">
        <v>58</v>
      </c>
      <c r="U196" s="1495"/>
      <c r="V196" s="1187" t="s">
        <v>58</v>
      </c>
      <c r="W196" s="1419">
        <f t="shared" si="78"/>
        <v>0</v>
      </c>
      <c r="X196" s="1187" t="s">
        <v>58</v>
      </c>
      <c r="Y196" s="1487">
        <v>0</v>
      </c>
      <c r="Z196" s="1488" t="s">
        <v>58</v>
      </c>
      <c r="AA196" s="1489">
        <f t="shared" si="79"/>
        <v>0</v>
      </c>
      <c r="AB196" s="1488" t="s">
        <v>58</v>
      </c>
      <c r="AC196" s="1489">
        <f t="shared" si="80"/>
        <v>0</v>
      </c>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6"/>
      <c r="BZ196" s="46"/>
      <c r="CA196" s="46"/>
      <c r="CB196" s="46"/>
      <c r="CC196" s="46"/>
    </row>
    <row r="197" spans="1:81" ht="11.25" customHeight="1">
      <c r="A197" s="1481"/>
      <c r="B197" s="1420" t="s">
        <v>1416</v>
      </c>
      <c r="C197" s="46" t="s">
        <v>1302</v>
      </c>
      <c r="D197" s="46"/>
      <c r="E197" s="1482"/>
      <c r="F197" s="1187" t="s">
        <v>58</v>
      </c>
      <c r="G197" s="46" t="s">
        <v>809</v>
      </c>
      <c r="H197" s="46"/>
      <c r="I197" s="1419">
        <f t="shared" si="81"/>
        <v>0</v>
      </c>
      <c r="J197" s="1187" t="s">
        <v>57</v>
      </c>
      <c r="K197" s="1490"/>
      <c r="L197" s="1187" t="s">
        <v>57</v>
      </c>
      <c r="M197" s="1491"/>
      <c r="N197" s="1187" t="s">
        <v>57</v>
      </c>
      <c r="O197" s="1492"/>
      <c r="P197" s="1187" t="s">
        <v>57</v>
      </c>
      <c r="Q197" s="1493"/>
      <c r="R197" s="1187" t="s">
        <v>57</v>
      </c>
      <c r="S197" s="1494"/>
      <c r="T197" s="1187" t="s">
        <v>58</v>
      </c>
      <c r="U197" s="1495"/>
      <c r="V197" s="1187" t="s">
        <v>58</v>
      </c>
      <c r="W197" s="1419">
        <f t="shared" si="78"/>
        <v>0</v>
      </c>
      <c r="X197" s="1187" t="s">
        <v>58</v>
      </c>
      <c r="Y197" s="1487">
        <v>0</v>
      </c>
      <c r="Z197" s="1488" t="s">
        <v>58</v>
      </c>
      <c r="AA197" s="1489">
        <f t="shared" si="79"/>
        <v>0</v>
      </c>
      <c r="AB197" s="1488" t="s">
        <v>58</v>
      </c>
      <c r="AC197" s="1489">
        <f t="shared" si="80"/>
        <v>0</v>
      </c>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46"/>
      <c r="BU197" s="46"/>
      <c r="BV197" s="46"/>
      <c r="BW197" s="46"/>
      <c r="BX197" s="46"/>
      <c r="BY197" s="46"/>
      <c r="BZ197" s="46"/>
      <c r="CA197" s="46"/>
      <c r="CB197" s="46"/>
      <c r="CC197" s="46"/>
    </row>
    <row r="198" spans="1:81" ht="12" customHeight="1">
      <c r="A198" s="1481"/>
      <c r="B198" s="97"/>
      <c r="C198" s="97"/>
      <c r="D198" s="46"/>
      <c r="E198" s="1462"/>
      <c r="F198" s="1187"/>
      <c r="G198" s="46"/>
      <c r="H198" s="46"/>
      <c r="I198" s="1496"/>
      <c r="J198" s="1187"/>
      <c r="K198" s="1034"/>
      <c r="L198" s="1187"/>
      <c r="M198" s="1497"/>
      <c r="N198" s="1187"/>
      <c r="O198" s="1498"/>
      <c r="P198" s="46"/>
      <c r="Q198" s="46"/>
      <c r="R198" s="46"/>
      <c r="S198" s="46"/>
      <c r="T198" s="46"/>
      <c r="U198" s="1034"/>
      <c r="V198" s="46"/>
      <c r="W198" s="1034"/>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6"/>
      <c r="BZ198" s="46"/>
      <c r="CA198" s="46"/>
      <c r="CB198" s="46"/>
      <c r="CC198" s="46"/>
    </row>
    <row r="199" spans="1:81" ht="12" customHeight="1">
      <c r="A199" s="1481"/>
      <c r="B199" s="97" t="s">
        <v>725</v>
      </c>
      <c r="C199" s="97"/>
      <c r="D199" s="46"/>
      <c r="E199" s="1187"/>
      <c r="F199" s="1187"/>
      <c r="G199" s="46"/>
      <c r="H199" s="46"/>
      <c r="I199" s="1187"/>
      <c r="J199" s="1187"/>
      <c r="K199" s="1242"/>
      <c r="L199" s="1241"/>
      <c r="M199" s="1242"/>
      <c r="N199" s="1241"/>
      <c r="O199" s="1249"/>
      <c r="P199" s="46"/>
      <c r="Q199" s="1249"/>
      <c r="R199" s="46"/>
      <c r="S199" s="1249"/>
      <c r="T199" s="46"/>
      <c r="U199" s="1242"/>
      <c r="V199" s="46"/>
      <c r="W199" s="1499">
        <f>SUM(W189:W197)</f>
        <v>27807.918927184346</v>
      </c>
      <c r="X199" s="46"/>
      <c r="Y199" s="1500">
        <f>SUM(Y189:Y197)</f>
        <v>185.38612618122897</v>
      </c>
      <c r="Z199" s="46"/>
      <c r="AA199" s="1500">
        <f>SUM(AA189:AA197)</f>
        <v>1.4156758726566574E-3</v>
      </c>
      <c r="AB199" s="46"/>
      <c r="AC199" s="1500">
        <f>SUM(AC189:AC197)</f>
        <v>5.190811533074411E-3</v>
      </c>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c r="BS199" s="46"/>
      <c r="BT199" s="46"/>
      <c r="BU199" s="46"/>
      <c r="BV199" s="46"/>
      <c r="BW199" s="46"/>
      <c r="BX199" s="46"/>
      <c r="BY199" s="46"/>
      <c r="BZ199" s="46"/>
      <c r="CA199" s="46"/>
      <c r="CB199" s="46"/>
      <c r="CC199" s="46"/>
    </row>
    <row r="200" spans="1:81" ht="12" customHeight="1">
      <c r="A200" s="16"/>
      <c r="B200" s="1296"/>
      <c r="C200" s="1297"/>
      <c r="D200" s="1298"/>
      <c r="E200" s="1298"/>
      <c r="F200" s="1298"/>
      <c r="G200" s="1299"/>
      <c r="H200" s="1300"/>
      <c r="I200" s="1301"/>
      <c r="J200" s="1300"/>
      <c r="K200" s="1302"/>
      <c r="L200" s="16"/>
      <c r="M200" s="1302"/>
      <c r="N200" s="16"/>
      <c r="O200" s="16"/>
      <c r="P200" s="16"/>
      <c r="Q200" s="16"/>
      <c r="R200" s="16"/>
      <c r="S200" s="16"/>
      <c r="T200" s="16"/>
      <c r="U200" s="16"/>
    </row>
    <row r="201" spans="1:81" ht="21" customHeight="1">
      <c r="B201" s="1480" t="s">
        <v>1417</v>
      </c>
      <c r="C201" s="1303"/>
      <c r="D201" s="1304"/>
      <c r="E201" s="1304"/>
      <c r="F201" s="1304"/>
      <c r="G201" s="1427"/>
      <c r="H201" s="307"/>
      <c r="I201" s="1306"/>
      <c r="J201" s="307"/>
      <c r="K201" s="1307"/>
      <c r="M201" s="1307"/>
      <c r="AH201" s="1250" t="s">
        <v>1336</v>
      </c>
    </row>
    <row r="202" spans="1:81" ht="36.75" customHeight="1">
      <c r="A202" s="1481"/>
      <c r="B202" s="1181" t="s">
        <v>1395</v>
      </c>
      <c r="C202" s="1241" t="s">
        <v>245</v>
      </c>
      <c r="D202" s="46"/>
      <c r="E202" s="1182" t="s">
        <v>1396</v>
      </c>
      <c r="F202" s="1182"/>
      <c r="G202" s="46" t="s">
        <v>1397</v>
      </c>
      <c r="H202" s="46"/>
      <c r="I202" s="1182" t="s">
        <v>1398</v>
      </c>
      <c r="J202" s="1182"/>
      <c r="K202" s="1182" t="s">
        <v>1399</v>
      </c>
      <c r="L202" s="97"/>
      <c r="M202" s="1182" t="s">
        <v>1418</v>
      </c>
      <c r="N202" s="97"/>
      <c r="O202" s="1182" t="s">
        <v>1401</v>
      </c>
      <c r="P202" s="97"/>
      <c r="Q202" s="1182" t="s">
        <v>1402</v>
      </c>
      <c r="R202" s="46"/>
      <c r="S202" s="1182" t="s">
        <v>1403</v>
      </c>
      <c r="T202" s="46"/>
      <c r="U202" s="1426" t="s">
        <v>1419</v>
      </c>
      <c r="V202" s="46"/>
      <c r="W202" s="1182" t="s">
        <v>1420</v>
      </c>
      <c r="X202" s="46"/>
      <c r="Y202" s="1182" t="s">
        <v>1421</v>
      </c>
      <c r="Z202" s="46"/>
      <c r="AA202" s="1182" t="s">
        <v>1422</v>
      </c>
      <c r="AB202" s="46"/>
      <c r="AC202" s="1182" t="s">
        <v>1423</v>
      </c>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46"/>
      <c r="BS202" s="46"/>
      <c r="BT202" s="46"/>
      <c r="BU202" s="46"/>
      <c r="BV202" s="46"/>
      <c r="BW202" s="46"/>
      <c r="BX202" s="46"/>
      <c r="BY202" s="46"/>
      <c r="BZ202" s="46"/>
      <c r="CA202" s="46"/>
      <c r="CB202" s="46"/>
      <c r="CC202" s="46"/>
    </row>
    <row r="203" spans="1:81" ht="11.25" customHeight="1">
      <c r="A203" s="1481"/>
      <c r="B203" s="46"/>
      <c r="C203" s="46"/>
      <c r="D203" s="46"/>
      <c r="E203" s="1187"/>
      <c r="F203" s="1187"/>
      <c r="G203" s="46"/>
      <c r="H203" s="46"/>
      <c r="I203" s="46"/>
      <c r="J203" s="46"/>
      <c r="K203" s="46"/>
      <c r="L203" s="46"/>
      <c r="M203" s="35"/>
      <c r="N203" s="46"/>
      <c r="O203" s="46"/>
      <c r="P203" s="46"/>
      <c r="Q203" s="46"/>
      <c r="R203" s="46"/>
      <c r="S203" s="46"/>
      <c r="T203" s="46"/>
      <c r="U203" s="1034"/>
      <c r="V203" s="46"/>
      <c r="W203" s="46"/>
      <c r="X203" s="46"/>
      <c r="Y203" s="46"/>
      <c r="Z203" s="46"/>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c r="BH203" s="46"/>
      <c r="BI203" s="46"/>
      <c r="BJ203" s="46"/>
      <c r="BK203" s="46"/>
      <c r="BL203" s="46"/>
      <c r="BM203" s="46"/>
      <c r="BN203" s="46"/>
      <c r="BO203" s="46"/>
      <c r="BP203" s="46"/>
      <c r="BQ203" s="46"/>
      <c r="BR203" s="46"/>
      <c r="BS203" s="46"/>
      <c r="BT203" s="46"/>
      <c r="BU203" s="46"/>
      <c r="BV203" s="46"/>
      <c r="BW203" s="46"/>
      <c r="BX203" s="46"/>
      <c r="BY203" s="46"/>
      <c r="BZ203" s="46"/>
      <c r="CA203" s="46"/>
      <c r="CB203" s="46"/>
      <c r="CC203" s="46"/>
    </row>
    <row r="204" spans="1:81" ht="11.25" customHeight="1">
      <c r="A204" s="1481"/>
      <c r="B204" s="1420" t="s">
        <v>1409</v>
      </c>
      <c r="C204" s="46" t="s">
        <v>1283</v>
      </c>
      <c r="D204" s="46"/>
      <c r="E204" s="1501">
        <v>2784</v>
      </c>
      <c r="F204" s="1187" t="s">
        <v>58</v>
      </c>
      <c r="G204" s="46">
        <v>2.1772E-2</v>
      </c>
      <c r="H204" s="46"/>
      <c r="I204" s="1419">
        <f t="shared" ref="I204:I205" si="82">E204*G204*1000</f>
        <v>60613.248</v>
      </c>
      <c r="J204" s="1187" t="s">
        <v>57</v>
      </c>
      <c r="K204" s="1483">
        <v>1.2</v>
      </c>
      <c r="L204" s="1187" t="s">
        <v>57</v>
      </c>
      <c r="M204" s="1484">
        <v>0.03</v>
      </c>
      <c r="N204" s="1187" t="s">
        <v>57</v>
      </c>
      <c r="O204" s="107">
        <v>0.93</v>
      </c>
      <c r="P204" s="1187" t="s">
        <v>57</v>
      </c>
      <c r="Q204" s="1485">
        <v>0.93</v>
      </c>
      <c r="R204" s="1187" t="s">
        <v>57</v>
      </c>
      <c r="S204" s="1485">
        <v>0.88</v>
      </c>
      <c r="T204" s="1187" t="s">
        <v>58</v>
      </c>
      <c r="U204" s="1486">
        <v>7.7000000000000002E-3</v>
      </c>
      <c r="V204" s="1187" t="s">
        <v>58</v>
      </c>
      <c r="W204" s="1502">
        <f t="shared" ref="W204:W212" si="83">I204*K204*M204*O204*Q204*S204*U204</f>
        <v>12.788197998144309</v>
      </c>
      <c r="X204" s="1187" t="s">
        <v>58</v>
      </c>
      <c r="Y204" s="1503">
        <v>0.14067017797958739</v>
      </c>
      <c r="Z204" s="1187" t="s">
        <v>58</v>
      </c>
      <c r="AA204" s="1504">
        <f t="shared" ref="AA204:AA212" si="84">Y204/(10^6)*$Z$8*12/44</f>
        <v>1.0166617408524726E-5</v>
      </c>
      <c r="AB204" s="1187" t="s">
        <v>58</v>
      </c>
      <c r="AC204" s="1504">
        <f t="shared" ref="AC204:AC212" si="85">AA204/(12/44)</f>
        <v>3.727759716459066E-5</v>
      </c>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6"/>
    </row>
    <row r="205" spans="1:81" ht="11.25" customHeight="1">
      <c r="A205" s="1481"/>
      <c r="B205" s="1420" t="s">
        <v>1410</v>
      </c>
      <c r="C205" s="46" t="s">
        <v>1283</v>
      </c>
      <c r="D205" s="46"/>
      <c r="E205" s="1501">
        <v>60350</v>
      </c>
      <c r="F205" s="1187" t="s">
        <v>58</v>
      </c>
      <c r="G205" s="46">
        <v>2.5401147108E-2</v>
      </c>
      <c r="H205" s="46"/>
      <c r="I205" s="1419">
        <f t="shared" si="82"/>
        <v>1532959.2279677999</v>
      </c>
      <c r="J205" s="1187" t="s">
        <v>57</v>
      </c>
      <c r="K205" s="1483">
        <v>1</v>
      </c>
      <c r="L205" s="1187" t="s">
        <v>57</v>
      </c>
      <c r="M205" s="1484">
        <v>0.03</v>
      </c>
      <c r="N205" s="1187" t="s">
        <v>57</v>
      </c>
      <c r="O205" s="107">
        <v>0.91</v>
      </c>
      <c r="P205" s="1187" t="s">
        <v>57</v>
      </c>
      <c r="Q205" s="1485">
        <v>0.93</v>
      </c>
      <c r="R205" s="1187" t="s">
        <v>57</v>
      </c>
      <c r="S205" s="1485">
        <v>0.88</v>
      </c>
      <c r="T205" s="1187" t="s">
        <v>58</v>
      </c>
      <c r="U205" s="1486">
        <v>5.7999999999999996E-3</v>
      </c>
      <c r="V205" s="1187" t="s">
        <v>58</v>
      </c>
      <c r="W205" s="1502">
        <f t="shared" si="83"/>
        <v>198.6492205856153</v>
      </c>
      <c r="X205" s="1187" t="s">
        <v>58</v>
      </c>
      <c r="Y205" s="1503">
        <v>2.1851414264417683</v>
      </c>
      <c r="Z205" s="1187" t="s">
        <v>58</v>
      </c>
      <c r="AA205" s="1504">
        <f t="shared" si="84"/>
        <v>1.5792613036556417E-4</v>
      </c>
      <c r="AB205" s="1187" t="s">
        <v>58</v>
      </c>
      <c r="AC205" s="1504">
        <f t="shared" si="85"/>
        <v>5.7906247800706869E-4</v>
      </c>
      <c r="AD205" s="46"/>
      <c r="AE205" s="46"/>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c r="BH205" s="46"/>
      <c r="BI205" s="46"/>
      <c r="BJ205" s="46"/>
      <c r="BK205" s="46"/>
      <c r="BL205" s="46"/>
      <c r="BM205" s="46"/>
      <c r="BN205" s="46"/>
      <c r="BO205" s="46"/>
      <c r="BP205" s="46"/>
      <c r="BQ205" s="46"/>
      <c r="BR205" s="46"/>
      <c r="BS205" s="46"/>
      <c r="BT205" s="46"/>
      <c r="BU205" s="46"/>
      <c r="BV205" s="46"/>
      <c r="BW205" s="46"/>
      <c r="BX205" s="46"/>
      <c r="BY205" s="46"/>
      <c r="BZ205" s="46"/>
      <c r="CA205" s="46"/>
      <c r="CB205" s="46"/>
      <c r="CC205" s="46"/>
    </row>
    <row r="206" spans="1:81" ht="11.25" customHeight="1">
      <c r="A206" s="1481"/>
      <c r="B206" s="1420" t="s">
        <v>1294</v>
      </c>
      <c r="C206" s="46" t="s">
        <v>1411</v>
      </c>
      <c r="D206" s="46"/>
      <c r="E206" s="1501">
        <v>0</v>
      </c>
      <c r="F206" s="1187" t="s">
        <v>58</v>
      </c>
      <c r="G206" s="46" t="s">
        <v>809</v>
      </c>
      <c r="H206" s="46"/>
      <c r="I206" s="1419">
        <f>(E206*1000/2000*0.9072)</f>
        <v>0</v>
      </c>
      <c r="J206" s="1187" t="s">
        <v>57</v>
      </c>
      <c r="K206" s="1483">
        <v>1</v>
      </c>
      <c r="L206" s="1187" t="s">
        <v>57</v>
      </c>
      <c r="M206" s="1484">
        <v>0.03</v>
      </c>
      <c r="N206" s="1187" t="s">
        <v>57</v>
      </c>
      <c r="O206" s="107">
        <v>0.86</v>
      </c>
      <c r="P206" s="1187" t="s">
        <v>57</v>
      </c>
      <c r="Q206" s="1485">
        <v>0.93</v>
      </c>
      <c r="R206" s="1187" t="s">
        <v>57</v>
      </c>
      <c r="S206" s="1485">
        <v>0.88</v>
      </c>
      <c r="T206" s="1187" t="s">
        <v>58</v>
      </c>
      <c r="U206" s="1486">
        <v>1.06E-2</v>
      </c>
      <c r="V206" s="1187" t="s">
        <v>58</v>
      </c>
      <c r="W206" s="1502">
        <f t="shared" si="83"/>
        <v>0</v>
      </c>
      <c r="X206" s="1187" t="s">
        <v>58</v>
      </c>
      <c r="Y206" s="1503">
        <v>0</v>
      </c>
      <c r="Z206" s="1187" t="s">
        <v>58</v>
      </c>
      <c r="AA206" s="1504">
        <f t="shared" si="84"/>
        <v>0</v>
      </c>
      <c r="AB206" s="1187" t="s">
        <v>58</v>
      </c>
      <c r="AC206" s="1504">
        <f t="shared" si="85"/>
        <v>0</v>
      </c>
      <c r="AD206" s="46"/>
      <c r="AE206" s="46"/>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c r="BH206" s="46"/>
      <c r="BI206" s="46"/>
      <c r="BJ206" s="46"/>
      <c r="BK206" s="46"/>
      <c r="BL206" s="46"/>
      <c r="BM206" s="46"/>
      <c r="BN206" s="46"/>
      <c r="BO206" s="46"/>
      <c r="BP206" s="46"/>
      <c r="BQ206" s="46"/>
      <c r="BR206" s="46"/>
      <c r="BS206" s="46"/>
      <c r="BT206" s="46"/>
      <c r="BU206" s="46"/>
      <c r="BV206" s="46"/>
      <c r="BW206" s="46"/>
      <c r="BX206" s="46"/>
      <c r="BY206" s="46"/>
      <c r="BZ206" s="46"/>
      <c r="CA206" s="46"/>
      <c r="CB206" s="46"/>
      <c r="CC206" s="46"/>
    </row>
    <row r="207" spans="1:81" ht="11.25" customHeight="1">
      <c r="A207" s="1481"/>
      <c r="B207" s="1420" t="s">
        <v>1291</v>
      </c>
      <c r="C207" s="46" t="s">
        <v>1412</v>
      </c>
      <c r="D207" s="46"/>
      <c r="E207" s="1501">
        <v>0</v>
      </c>
      <c r="F207" s="1187" t="s">
        <v>58</v>
      </c>
      <c r="G207" s="46" t="s">
        <v>809</v>
      </c>
      <c r="H207" s="46"/>
      <c r="I207" s="1419">
        <v>0</v>
      </c>
      <c r="J207" s="1187" t="s">
        <v>57</v>
      </c>
      <c r="K207" s="1483">
        <v>1.4</v>
      </c>
      <c r="L207" s="1187" t="s">
        <v>57</v>
      </c>
      <c r="M207" s="1484">
        <v>0</v>
      </c>
      <c r="N207" s="1187" t="s">
        <v>57</v>
      </c>
      <c r="O207" s="107">
        <v>0.91</v>
      </c>
      <c r="P207" s="1187" t="s">
        <v>57</v>
      </c>
      <c r="Q207" s="1485">
        <v>0.93</v>
      </c>
      <c r="R207" s="1187" t="s">
        <v>57</v>
      </c>
      <c r="S207" s="1485">
        <v>0.88</v>
      </c>
      <c r="T207" s="1187" t="s">
        <v>58</v>
      </c>
      <c r="U207" s="1486">
        <v>7.1999999999999998E-3</v>
      </c>
      <c r="V207" s="1187" t="s">
        <v>58</v>
      </c>
      <c r="W207" s="1502">
        <f t="shared" si="83"/>
        <v>0</v>
      </c>
      <c r="X207" s="1187" t="s">
        <v>58</v>
      </c>
      <c r="Y207" s="1503">
        <v>0</v>
      </c>
      <c r="Z207" s="1187" t="s">
        <v>58</v>
      </c>
      <c r="AA207" s="1504">
        <f t="shared" si="84"/>
        <v>0</v>
      </c>
      <c r="AB207" s="1187" t="s">
        <v>58</v>
      </c>
      <c r="AC207" s="1504">
        <f t="shared" si="85"/>
        <v>0</v>
      </c>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row>
    <row r="208" spans="1:81" ht="11.25" customHeight="1">
      <c r="A208" s="1481"/>
      <c r="B208" s="1420" t="s">
        <v>1413</v>
      </c>
      <c r="C208" s="46" t="s">
        <v>1283</v>
      </c>
      <c r="D208" s="46"/>
      <c r="E208" s="1501">
        <v>15810</v>
      </c>
      <c r="F208" s="1187" t="s">
        <v>58</v>
      </c>
      <c r="G208" s="46">
        <v>2.7215692074999999E-2</v>
      </c>
      <c r="H208" s="46"/>
      <c r="I208" s="1419">
        <f>E208*G208*1000</f>
        <v>430280.09170575003</v>
      </c>
      <c r="J208" s="1187" t="s">
        <v>57</v>
      </c>
      <c r="K208" s="1483">
        <v>2.1</v>
      </c>
      <c r="L208" s="1187" t="s">
        <v>57</v>
      </c>
      <c r="M208" s="1484">
        <v>0.03</v>
      </c>
      <c r="N208" s="1187" t="s">
        <v>57</v>
      </c>
      <c r="O208" s="107">
        <v>0.87</v>
      </c>
      <c r="P208" s="1187" t="s">
        <v>57</v>
      </c>
      <c r="Q208" s="1485">
        <v>0.93</v>
      </c>
      <c r="R208" s="1187" t="s">
        <v>57</v>
      </c>
      <c r="S208" s="1485">
        <v>0.88</v>
      </c>
      <c r="T208" s="1187" t="s">
        <v>58</v>
      </c>
      <c r="U208" s="1486">
        <v>2.3E-2</v>
      </c>
      <c r="V208" s="1187" t="s">
        <v>58</v>
      </c>
      <c r="W208" s="1502">
        <f t="shared" si="83"/>
        <v>443.91979505854493</v>
      </c>
      <c r="X208" s="1187" t="s">
        <v>58</v>
      </c>
      <c r="Y208" s="1503">
        <v>4.883117745643994</v>
      </c>
      <c r="Z208" s="1187" t="s">
        <v>58</v>
      </c>
      <c r="AA208" s="1504">
        <f t="shared" si="84"/>
        <v>3.5291623707154327E-4</v>
      </c>
      <c r="AB208" s="1187" t="s">
        <v>58</v>
      </c>
      <c r="AC208" s="1504">
        <f t="shared" si="85"/>
        <v>1.2940262025956588E-3</v>
      </c>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6"/>
      <c r="BK208" s="46"/>
      <c r="BL208" s="46"/>
      <c r="BM208" s="46"/>
      <c r="BN208" s="46"/>
      <c r="BO208" s="46"/>
      <c r="BP208" s="46"/>
      <c r="BQ208" s="46"/>
      <c r="BR208" s="46"/>
      <c r="BS208" s="46"/>
      <c r="BT208" s="46"/>
      <c r="BU208" s="46"/>
      <c r="BV208" s="46"/>
      <c r="BW208" s="46"/>
      <c r="BX208" s="46"/>
      <c r="BY208" s="46"/>
      <c r="BZ208" s="46"/>
      <c r="CA208" s="46"/>
      <c r="CB208" s="46"/>
      <c r="CC208" s="46"/>
    </row>
    <row r="209" spans="1:81" ht="11.25" customHeight="1">
      <c r="A209" s="1481"/>
      <c r="B209" s="1420" t="s">
        <v>1414</v>
      </c>
      <c r="C209" s="46" t="s">
        <v>1280</v>
      </c>
      <c r="D209" s="46"/>
      <c r="E209" s="1501">
        <v>0</v>
      </c>
      <c r="F209" s="1187" t="s">
        <v>58</v>
      </c>
      <c r="G209" s="46" t="s">
        <v>809</v>
      </c>
      <c r="H209" s="46"/>
      <c r="I209" s="1419">
        <f>E209*0.9072*1000</f>
        <v>0</v>
      </c>
      <c r="J209" s="1187" t="s">
        <v>57</v>
      </c>
      <c r="K209" s="1483">
        <v>0.8</v>
      </c>
      <c r="L209" s="1187" t="s">
        <v>57</v>
      </c>
      <c r="M209" s="1484">
        <v>0.03</v>
      </c>
      <c r="N209" s="1187" t="s">
        <v>57</v>
      </c>
      <c r="O209" s="107">
        <v>0.62</v>
      </c>
      <c r="P209" s="1187" t="s">
        <v>57</v>
      </c>
      <c r="Q209" s="1485">
        <v>0.93</v>
      </c>
      <c r="R209" s="1187" t="s">
        <v>57</v>
      </c>
      <c r="S209" s="1485">
        <v>0.88</v>
      </c>
      <c r="T209" s="1187" t="s">
        <v>58</v>
      </c>
      <c r="U209" s="1486">
        <v>4.0000000000000001E-3</v>
      </c>
      <c r="V209" s="1187" t="s">
        <v>58</v>
      </c>
      <c r="W209" s="1502">
        <f t="shared" si="83"/>
        <v>0</v>
      </c>
      <c r="X209" s="1187" t="s">
        <v>58</v>
      </c>
      <c r="Y209" s="1503">
        <v>0</v>
      </c>
      <c r="Z209" s="1187" t="s">
        <v>58</v>
      </c>
      <c r="AA209" s="1504">
        <f t="shared" si="84"/>
        <v>0</v>
      </c>
      <c r="AB209" s="1187" t="s">
        <v>58</v>
      </c>
      <c r="AC209" s="1504">
        <f t="shared" si="85"/>
        <v>0</v>
      </c>
      <c r="AD209" s="46"/>
      <c r="AE209" s="46"/>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c r="BT209" s="46"/>
      <c r="BU209" s="46"/>
      <c r="BV209" s="46"/>
      <c r="BW209" s="46"/>
      <c r="BX209" s="46"/>
      <c r="BY209" s="46"/>
      <c r="BZ209" s="46"/>
      <c r="CA209" s="46"/>
      <c r="CB209" s="46"/>
      <c r="CC209" s="46"/>
    </row>
    <row r="210" spans="1:81" ht="11.25" customHeight="1">
      <c r="A210" s="1481"/>
      <c r="B210" s="1420" t="s">
        <v>1415</v>
      </c>
      <c r="C210" s="46" t="s">
        <v>1283</v>
      </c>
      <c r="D210" s="46"/>
      <c r="E210" s="1501">
        <v>8500</v>
      </c>
      <c r="F210" s="1187" t="s">
        <v>58</v>
      </c>
      <c r="G210" s="46">
        <v>2.7215442853E-2</v>
      </c>
      <c r="H210" s="46"/>
      <c r="I210" s="1419">
        <f>E210*G210*1000</f>
        <v>231331.26425050001</v>
      </c>
      <c r="J210" s="1187" t="s">
        <v>57</v>
      </c>
      <c r="K210" s="1483">
        <v>1.3</v>
      </c>
      <c r="L210" s="1187" t="s">
        <v>57</v>
      </c>
      <c r="M210" s="1484">
        <v>0.03</v>
      </c>
      <c r="N210" s="1187" t="s">
        <v>57</v>
      </c>
      <c r="O210" s="107">
        <v>0.93</v>
      </c>
      <c r="P210" s="1187" t="s">
        <v>57</v>
      </c>
      <c r="Q210" s="1485">
        <v>0.93</v>
      </c>
      <c r="R210" s="1187" t="s">
        <v>57</v>
      </c>
      <c r="S210" s="1485">
        <v>0.88</v>
      </c>
      <c r="T210" s="1187" t="s">
        <v>58</v>
      </c>
      <c r="U210" s="1486">
        <v>6.1999999999999998E-3</v>
      </c>
      <c r="V210" s="1187" t="s">
        <v>58</v>
      </c>
      <c r="W210" s="1502">
        <f t="shared" si="83"/>
        <v>42.573484489247591</v>
      </c>
      <c r="X210" s="1187" t="s">
        <v>58</v>
      </c>
      <c r="Y210" s="1503">
        <v>0.46830832938172345</v>
      </c>
      <c r="Z210" s="1187" t="s">
        <v>58</v>
      </c>
      <c r="AA210" s="1504">
        <f t="shared" si="84"/>
        <v>3.3845920168951836E-5</v>
      </c>
      <c r="AB210" s="1187" t="s">
        <v>58</v>
      </c>
      <c r="AC210" s="1504">
        <f t="shared" si="85"/>
        <v>1.2410170728615675E-4</v>
      </c>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6"/>
    </row>
    <row r="211" spans="1:81" ht="11.25" customHeight="1">
      <c r="A211" s="1481"/>
      <c r="B211" s="1420" t="s">
        <v>592</v>
      </c>
      <c r="C211" s="46"/>
      <c r="D211" s="46"/>
      <c r="E211" s="1501">
        <v>0</v>
      </c>
      <c r="F211" s="1187" t="s">
        <v>58</v>
      </c>
      <c r="G211" s="46" t="s">
        <v>809</v>
      </c>
      <c r="H211" s="46"/>
      <c r="I211" s="1419">
        <f t="shared" ref="I211:I212" si="86">E211</f>
        <v>0</v>
      </c>
      <c r="J211" s="1187" t="s">
        <v>57</v>
      </c>
      <c r="K211" s="1490"/>
      <c r="L211" s="1187" t="s">
        <v>57</v>
      </c>
      <c r="M211" s="1491"/>
      <c r="N211" s="1187" t="s">
        <v>57</v>
      </c>
      <c r="O211" s="1492"/>
      <c r="P211" s="1187" t="s">
        <v>57</v>
      </c>
      <c r="Q211" s="1493"/>
      <c r="R211" s="1187" t="s">
        <v>57</v>
      </c>
      <c r="S211" s="1494"/>
      <c r="T211" s="1187" t="s">
        <v>58</v>
      </c>
      <c r="U211" s="1495"/>
      <c r="V211" s="1187" t="s">
        <v>58</v>
      </c>
      <c r="W211" s="1502">
        <f t="shared" si="83"/>
        <v>0</v>
      </c>
      <c r="X211" s="1187" t="s">
        <v>58</v>
      </c>
      <c r="Y211" s="1503">
        <v>0</v>
      </c>
      <c r="Z211" s="1187" t="s">
        <v>58</v>
      </c>
      <c r="AA211" s="1504">
        <f t="shared" si="84"/>
        <v>0</v>
      </c>
      <c r="AB211" s="1187" t="s">
        <v>58</v>
      </c>
      <c r="AC211" s="1504">
        <f t="shared" si="85"/>
        <v>0</v>
      </c>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6"/>
    </row>
    <row r="212" spans="1:81" ht="11.25" customHeight="1">
      <c r="A212" s="1481"/>
      <c r="B212" s="46"/>
      <c r="C212" s="46"/>
      <c r="D212" s="46"/>
      <c r="E212" s="1501">
        <v>0</v>
      </c>
      <c r="F212" s="1187" t="s">
        <v>58</v>
      </c>
      <c r="G212" s="46" t="s">
        <v>809</v>
      </c>
      <c r="H212" s="46"/>
      <c r="I212" s="1419">
        <f t="shared" si="86"/>
        <v>0</v>
      </c>
      <c r="J212" s="1187" t="s">
        <v>57</v>
      </c>
      <c r="K212" s="1490"/>
      <c r="L212" s="1187" t="s">
        <v>57</v>
      </c>
      <c r="M212" s="1491"/>
      <c r="N212" s="1187" t="s">
        <v>57</v>
      </c>
      <c r="O212" s="1492"/>
      <c r="P212" s="1187" t="s">
        <v>57</v>
      </c>
      <c r="Q212" s="1493"/>
      <c r="R212" s="1187" t="s">
        <v>57</v>
      </c>
      <c r="S212" s="1494"/>
      <c r="T212" s="1187" t="s">
        <v>58</v>
      </c>
      <c r="U212" s="1495"/>
      <c r="V212" s="1187" t="s">
        <v>58</v>
      </c>
      <c r="W212" s="1502">
        <f t="shared" si="83"/>
        <v>0</v>
      </c>
      <c r="X212" s="1187" t="s">
        <v>58</v>
      </c>
      <c r="Y212" s="1503">
        <v>0</v>
      </c>
      <c r="Z212" s="1187" t="s">
        <v>58</v>
      </c>
      <c r="AA212" s="1504">
        <f t="shared" si="84"/>
        <v>0</v>
      </c>
      <c r="AB212" s="1187" t="s">
        <v>58</v>
      </c>
      <c r="AC212" s="1504">
        <f t="shared" si="85"/>
        <v>0</v>
      </c>
      <c r="AD212" s="46"/>
      <c r="AE212" s="46"/>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c r="BT212" s="46"/>
      <c r="BU212" s="46"/>
      <c r="BV212" s="46"/>
      <c r="BW212" s="46"/>
      <c r="BX212" s="46"/>
      <c r="BY212" s="46"/>
      <c r="BZ212" s="46"/>
      <c r="CA212" s="46"/>
      <c r="CB212" s="46"/>
      <c r="CC212" s="46"/>
    </row>
    <row r="213" spans="1:81" ht="12" customHeight="1">
      <c r="A213" s="1481"/>
      <c r="B213" s="97"/>
      <c r="C213" s="97"/>
      <c r="D213" s="46"/>
      <c r="E213" s="1462"/>
      <c r="F213" s="1187"/>
      <c r="G213" s="46"/>
      <c r="H213" s="46"/>
      <c r="I213" s="1496"/>
      <c r="J213" s="1187"/>
      <c r="K213" s="1034"/>
      <c r="L213" s="1187"/>
      <c r="M213" s="1497"/>
      <c r="N213" s="1187"/>
      <c r="O213" s="1498"/>
      <c r="P213" s="46"/>
      <c r="Q213" s="46"/>
      <c r="R213" s="46"/>
      <c r="S213" s="46"/>
      <c r="T213" s="46"/>
      <c r="U213" s="46"/>
      <c r="V213" s="46"/>
      <c r="W213" s="1031"/>
      <c r="X213" s="46"/>
      <c r="Y213" s="1505"/>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c r="BT213" s="46"/>
      <c r="BU213" s="46"/>
      <c r="BV213" s="46"/>
      <c r="BW213" s="46"/>
      <c r="BX213" s="46"/>
      <c r="BY213" s="46"/>
      <c r="BZ213" s="46"/>
      <c r="CA213" s="46"/>
      <c r="CB213" s="46"/>
      <c r="CC213" s="46"/>
    </row>
    <row r="214" spans="1:81" ht="12" customHeight="1">
      <c r="A214" s="1481"/>
      <c r="B214" s="97" t="s">
        <v>725</v>
      </c>
      <c r="C214" s="97"/>
      <c r="D214" s="46"/>
      <c r="E214" s="1187"/>
      <c r="F214" s="1187"/>
      <c r="G214" s="46"/>
      <c r="H214" s="46"/>
      <c r="I214" s="1187"/>
      <c r="J214" s="1187"/>
      <c r="K214" s="1242"/>
      <c r="L214" s="1241"/>
      <c r="M214" s="1242"/>
      <c r="N214" s="1241"/>
      <c r="O214" s="1249"/>
      <c r="P214" s="46"/>
      <c r="Q214" s="1249"/>
      <c r="R214" s="46"/>
      <c r="S214" s="46"/>
      <c r="T214" s="46"/>
      <c r="U214" s="1249"/>
      <c r="V214" s="46"/>
      <c r="W214" s="1506">
        <f>SUM(W204:W212)</f>
        <v>697.93069813155205</v>
      </c>
      <c r="X214" s="46"/>
      <c r="Y214" s="1507">
        <f>SUM(Y204:Y212)</f>
        <v>7.6772376794470736</v>
      </c>
      <c r="Z214" s="46"/>
      <c r="AA214" s="1508">
        <f>SUM(AA204:AA212)</f>
        <v>5.5485490501458402E-4</v>
      </c>
      <c r="AB214" s="46"/>
      <c r="AC214" s="1508">
        <f>SUM(AC204:AC212)</f>
        <v>2.0344679850534749E-3</v>
      </c>
      <c r="AD214" s="46"/>
      <c r="AE214" s="46"/>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c r="BT214" s="46"/>
      <c r="BU214" s="46"/>
      <c r="BV214" s="46"/>
      <c r="BW214" s="46"/>
      <c r="BX214" s="46"/>
      <c r="BY214" s="46"/>
      <c r="BZ214" s="46"/>
      <c r="CA214" s="46"/>
      <c r="CB214" s="46"/>
      <c r="CC214" s="46"/>
    </row>
    <row r="215" spans="1:81" ht="12" customHeight="1">
      <c r="A215" s="16"/>
      <c r="B215" s="1296"/>
      <c r="C215" s="1297"/>
      <c r="D215" s="1298"/>
      <c r="E215" s="1298"/>
      <c r="F215" s="1298"/>
      <c r="G215" s="1299"/>
      <c r="H215" s="1300"/>
      <c r="I215" s="1301"/>
      <c r="J215" s="1300"/>
      <c r="K215" s="1302"/>
      <c r="L215" s="16"/>
      <c r="M215" s="1302"/>
      <c r="N215" s="16"/>
      <c r="O215" s="16"/>
      <c r="P215" s="16"/>
      <c r="Q215" s="16"/>
      <c r="R215" s="16"/>
      <c r="S215" s="16"/>
      <c r="T215" s="16"/>
      <c r="U215" s="16"/>
    </row>
    <row r="216" spans="1:81" ht="12" customHeight="1">
      <c r="A216" s="18"/>
      <c r="B216" s="1509" t="s">
        <v>1424</v>
      </c>
      <c r="C216" s="1510"/>
      <c r="D216" s="33"/>
      <c r="E216" s="33"/>
      <c r="F216" s="1256"/>
      <c r="G216" s="1305"/>
      <c r="H216" s="307"/>
      <c r="I216" s="1306"/>
      <c r="J216" s="307"/>
      <c r="K216" s="1307"/>
      <c r="M216" s="1307"/>
      <c r="AH216" s="1250" t="s">
        <v>1336</v>
      </c>
    </row>
    <row r="217" spans="1:81" ht="12.75" customHeight="1">
      <c r="A217" s="18"/>
      <c r="B217" s="18"/>
      <c r="C217" s="18"/>
      <c r="D217" s="18"/>
      <c r="E217" s="18"/>
    </row>
    <row r="218" spans="1:81" ht="25.5" customHeight="1">
      <c r="A218" s="18"/>
      <c r="B218" s="1511" t="s">
        <v>1425</v>
      </c>
      <c r="C218" s="1512">
        <v>2006</v>
      </c>
      <c r="D218" s="1513"/>
      <c r="E218" s="1514" t="s">
        <v>1426</v>
      </c>
    </row>
    <row r="219" spans="1:81" ht="12" customHeight="1">
      <c r="A219" s="18"/>
      <c r="B219" s="1515" t="s">
        <v>27</v>
      </c>
      <c r="C219" s="1516">
        <f>M25</f>
        <v>0.5587572393611373</v>
      </c>
      <c r="D219" s="1517"/>
      <c r="E219" s="1518">
        <f t="shared" ref="E219:E224" si="87">C219</f>
        <v>0.5587572393611373</v>
      </c>
    </row>
    <row r="220" spans="1:81" ht="12" customHeight="1">
      <c r="A220" s="18"/>
      <c r="B220" s="1515" t="s">
        <v>28</v>
      </c>
      <c r="C220" s="1516">
        <f>W59+U85</f>
        <v>0.31835966162062634</v>
      </c>
      <c r="D220" s="1519"/>
      <c r="E220" s="1518">
        <f t="shared" si="87"/>
        <v>0.31835966162062634</v>
      </c>
    </row>
    <row r="221" spans="1:81" ht="12" customHeight="1">
      <c r="A221" s="18"/>
      <c r="B221" s="1515" t="s">
        <v>1427</v>
      </c>
      <c r="C221" s="1516">
        <f>C250*$Z$8/1000000</f>
        <v>0.87165658347217401</v>
      </c>
      <c r="D221" s="1519"/>
      <c r="E221" s="1518">
        <f t="shared" si="87"/>
        <v>0.87165658347217401</v>
      </c>
      <c r="G221" s="1520"/>
    </row>
    <row r="222" spans="1:81" ht="12" customHeight="1">
      <c r="A222" s="18"/>
      <c r="B222" s="1515" t="s">
        <v>1428</v>
      </c>
      <c r="C222" s="1521">
        <v>0</v>
      </c>
      <c r="D222" s="1519"/>
      <c r="E222" s="1518">
        <f t="shared" si="87"/>
        <v>0</v>
      </c>
    </row>
    <row r="223" spans="1:81" ht="12" customHeight="1">
      <c r="A223" s="18"/>
      <c r="B223" s="1515" t="s">
        <v>1429</v>
      </c>
      <c r="C223" s="1516">
        <f>AC199+AC214</f>
        <v>7.2252795181278855E-3</v>
      </c>
      <c r="D223" s="1519"/>
      <c r="E223" s="1518">
        <f t="shared" si="87"/>
        <v>7.2252795181278855E-3</v>
      </c>
    </row>
    <row r="224" spans="1:81" ht="12.75" customHeight="1">
      <c r="A224" s="18"/>
      <c r="B224" s="1522" t="s">
        <v>725</v>
      </c>
      <c r="C224" s="1523">
        <f>SUM(C219:C223)</f>
        <v>1.7559987639720656</v>
      </c>
      <c r="D224" s="1524"/>
      <c r="E224" s="1525">
        <f t="shared" si="87"/>
        <v>1.7559987639720656</v>
      </c>
    </row>
    <row r="225" spans="1:5" ht="12.75" customHeight="1">
      <c r="A225" s="18"/>
      <c r="B225" s="1526"/>
      <c r="C225" s="1527"/>
      <c r="D225" s="1528"/>
      <c r="E225" s="1529"/>
    </row>
    <row r="226" spans="1:5" ht="25.5" customHeight="1">
      <c r="A226" s="18"/>
      <c r="B226" s="1530" t="s">
        <v>1430</v>
      </c>
      <c r="C226" s="1531">
        <v>2006</v>
      </c>
      <c r="D226" s="1532"/>
      <c r="E226" s="1514" t="s">
        <v>1426</v>
      </c>
    </row>
    <row r="227" spans="1:5" ht="12" customHeight="1">
      <c r="A227" s="18"/>
      <c r="B227" s="1533" t="s">
        <v>1431</v>
      </c>
      <c r="C227" s="1534">
        <f>SUM(C228:C231)</f>
        <v>2.4493089267832491E-2</v>
      </c>
      <c r="D227" s="1535"/>
      <c r="E227" s="1536">
        <f>C227*$Z$7</f>
        <v>0.68580649949930972</v>
      </c>
    </row>
    <row r="228" spans="1:5" ht="12" customHeight="1">
      <c r="A228" s="18"/>
      <c r="B228" s="1537" t="s">
        <v>27</v>
      </c>
      <c r="C228" s="1521">
        <v>1.9955615691469183E-2</v>
      </c>
      <c r="D228" s="1519"/>
      <c r="E228" s="1518">
        <f>C228*$Z$7</f>
        <v>0.55875723936113708</v>
      </c>
    </row>
    <row r="229" spans="1:5" ht="12" customHeight="1">
      <c r="A229" s="18"/>
      <c r="B229" s="1537" t="s">
        <v>28</v>
      </c>
      <c r="C229" s="1521">
        <v>4.352087450182081E-3</v>
      </c>
      <c r="D229" s="1519"/>
      <c r="E229" s="1518">
        <f>C229*$Z$7</f>
        <v>0.12185844860509827</v>
      </c>
    </row>
    <row r="230" spans="1:5" ht="12" customHeight="1">
      <c r="A230" s="18"/>
      <c r="B230" s="1537" t="s">
        <v>1428</v>
      </c>
      <c r="C230" s="1521">
        <v>0</v>
      </c>
      <c r="D230" s="1519"/>
      <c r="E230" s="1518">
        <f>C230*$Z$7</f>
        <v>0</v>
      </c>
    </row>
    <row r="231" spans="1:5" ht="12" customHeight="1">
      <c r="A231" s="18"/>
      <c r="B231" s="1537" t="s">
        <v>1429</v>
      </c>
      <c r="C231" s="1521">
        <v>1.8538612618122896E-4</v>
      </c>
      <c r="D231" s="1519"/>
      <c r="E231" s="1518">
        <f>C231*$Z$7</f>
        <v>5.190811533074411E-3</v>
      </c>
    </row>
    <row r="232" spans="1:5" ht="12" customHeight="1">
      <c r="A232" s="18"/>
      <c r="B232" s="1538" t="s">
        <v>1432</v>
      </c>
      <c r="C232" s="1539">
        <f>SUM(C233:C235)</f>
        <v>4.0384613753688889E-3</v>
      </c>
      <c r="D232" s="1540"/>
      <c r="E232" s="1536">
        <f>C232*$Z$8</f>
        <v>1.0701922644727555</v>
      </c>
    </row>
    <row r="233" spans="1:5" ht="12" customHeight="1">
      <c r="A233" s="18"/>
      <c r="B233" s="1537" t="s">
        <v>28</v>
      </c>
      <c r="C233" s="1521">
        <v>7.415140113793511E-4</v>
      </c>
      <c r="D233" s="1519"/>
      <c r="E233" s="1518">
        <f>C233*$Z$8</f>
        <v>0.19650121301552803</v>
      </c>
    </row>
    <row r="234" spans="1:5" ht="12" customHeight="1">
      <c r="A234" s="18"/>
      <c r="B234" s="1537" t="s">
        <v>1427</v>
      </c>
      <c r="C234" s="1521">
        <v>3.2892701263100908E-3</v>
      </c>
      <c r="D234" s="1519"/>
      <c r="E234" s="1518">
        <f>C234*$Z$8</f>
        <v>0.87165658347217412</v>
      </c>
    </row>
    <row r="235" spans="1:5" ht="12" customHeight="1">
      <c r="A235" s="18"/>
      <c r="B235" s="1537" t="s">
        <v>1429</v>
      </c>
      <c r="C235" s="1521">
        <v>7.6772376794470732E-6</v>
      </c>
      <c r="D235" s="1519"/>
      <c r="E235" s="1518">
        <f>C235*$Z$8</f>
        <v>2.0344679850534744E-3</v>
      </c>
    </row>
    <row r="236" spans="1:5" ht="12.75" customHeight="1">
      <c r="A236" s="18"/>
      <c r="B236" s="1515"/>
      <c r="C236" s="18"/>
      <c r="D236" s="1541"/>
      <c r="E236" s="1542"/>
    </row>
    <row r="237" spans="1:5" ht="24.75" customHeight="1">
      <c r="A237" s="18"/>
      <c r="B237" s="1530" t="s">
        <v>1433</v>
      </c>
      <c r="C237" s="1543">
        <v>2006</v>
      </c>
      <c r="D237" s="1544"/>
      <c r="E237" s="1545"/>
    </row>
    <row r="238" spans="1:5" ht="12" customHeight="1">
      <c r="A238" s="18"/>
      <c r="B238" s="1533" t="s">
        <v>1434</v>
      </c>
      <c r="C238" s="1546">
        <f>SUM(C239:C243)</f>
        <v>2782.4603652163332</v>
      </c>
      <c r="D238" s="1547"/>
      <c r="E238" s="1548"/>
    </row>
    <row r="239" spans="1:5" ht="12" customHeight="1">
      <c r="A239" s="18"/>
      <c r="B239" s="1537" t="s">
        <v>1435</v>
      </c>
      <c r="C239" s="1549">
        <f>O116</f>
        <v>724.45278594706372</v>
      </c>
      <c r="D239" s="1550"/>
      <c r="E239" s="1551"/>
    </row>
    <row r="240" spans="1:5" ht="12" customHeight="1">
      <c r="A240" s="18"/>
      <c r="B240" s="1537" t="s">
        <v>1436</v>
      </c>
      <c r="C240" s="1549">
        <f t="shared" ref="C240:C241" si="88">AA90</f>
        <v>402.03381228776044</v>
      </c>
      <c r="D240" s="1550"/>
      <c r="E240" s="1552"/>
    </row>
    <row r="241" spans="1:5" ht="12" customHeight="1">
      <c r="A241" s="18"/>
      <c r="B241" s="1537" t="s">
        <v>1437</v>
      </c>
      <c r="C241" s="1549">
        <f t="shared" si="88"/>
        <v>603.78691717004938</v>
      </c>
      <c r="D241" s="1550"/>
      <c r="E241" s="1552"/>
    </row>
    <row r="242" spans="1:5" ht="12" customHeight="1">
      <c r="A242" s="18"/>
      <c r="B242" s="1537" t="s">
        <v>1438</v>
      </c>
      <c r="C242" s="1549">
        <v>0</v>
      </c>
      <c r="D242" s="1550"/>
      <c r="E242" s="1551"/>
    </row>
    <row r="243" spans="1:5" ht="12" customHeight="1">
      <c r="A243" s="18"/>
      <c r="B243" s="1537" t="s">
        <v>1439</v>
      </c>
      <c r="C243" s="1549">
        <f>G184</f>
        <v>1052.1868498114598</v>
      </c>
      <c r="D243" s="1550"/>
      <c r="E243" s="1551"/>
    </row>
    <row r="244" spans="1:5" ht="12" customHeight="1">
      <c r="A244" s="18"/>
      <c r="B244" s="1533" t="s">
        <v>1440</v>
      </c>
      <c r="C244" s="1546">
        <f>SUM(C245:C247)</f>
        <v>506.80976109375757</v>
      </c>
      <c r="D244" s="1547"/>
      <c r="E244" s="1548"/>
    </row>
    <row r="245" spans="1:5" ht="12" customHeight="1">
      <c r="A245" s="18"/>
      <c r="B245" s="1537" t="s">
        <v>1435</v>
      </c>
      <c r="C245" s="1549">
        <f>Q116</f>
        <v>80.53693967673783</v>
      </c>
      <c r="D245" s="1550"/>
      <c r="E245" s="1551"/>
    </row>
    <row r="246" spans="1:5" ht="12" customHeight="1">
      <c r="A246" s="18"/>
      <c r="B246" s="1537" t="s">
        <v>1439</v>
      </c>
      <c r="C246" s="1549">
        <f>G181</f>
        <v>123.89220921361432</v>
      </c>
      <c r="D246" s="1550"/>
      <c r="E246" s="1551"/>
    </row>
    <row r="247" spans="1:5" ht="12" customHeight="1">
      <c r="A247" s="18"/>
      <c r="B247" s="1537" t="s">
        <v>1441</v>
      </c>
      <c r="C247" s="1549">
        <f>+O181</f>
        <v>302.38061220340541</v>
      </c>
      <c r="D247" s="1550"/>
      <c r="E247" s="1551"/>
    </row>
    <row r="248" spans="1:5" ht="12" customHeight="1">
      <c r="A248" s="18"/>
      <c r="B248" s="1553" t="s">
        <v>1390</v>
      </c>
      <c r="C248" s="1549">
        <f t="shared" ref="C248:C249" si="89">O182</f>
        <v>163.00187683808937</v>
      </c>
      <c r="D248" s="1550"/>
      <c r="E248" s="1551"/>
    </row>
    <row r="249" spans="1:5" ht="12" customHeight="1">
      <c r="A249" s="18"/>
      <c r="B249" s="1553" t="s">
        <v>1392</v>
      </c>
      <c r="C249" s="1549">
        <f t="shared" si="89"/>
        <v>139.37873536531609</v>
      </c>
      <c r="D249" s="1550"/>
      <c r="E249" s="1551"/>
    </row>
    <row r="250" spans="1:5" ht="12.75" customHeight="1">
      <c r="A250" s="18"/>
      <c r="B250" s="1526" t="s">
        <v>725</v>
      </c>
      <c r="C250" s="1554">
        <f>C244+C238</f>
        <v>3289.2701263100907</v>
      </c>
      <c r="D250" s="1555"/>
      <c r="E250" s="1556"/>
    </row>
    <row r="251" spans="1:5" ht="12" customHeight="1">
      <c r="A251" s="18"/>
      <c r="B251" s="18"/>
      <c r="C251" s="18"/>
      <c r="D251" s="18"/>
      <c r="E251" s="18"/>
    </row>
    <row r="252" spans="1:5" ht="11.25" customHeight="1"/>
    <row r="253" spans="1:5" ht="11.25" customHeight="1"/>
    <row r="254" spans="1:5" ht="11.25" customHeight="1"/>
    <row r="255" spans="1:5" ht="11.25" customHeight="1"/>
    <row r="256" spans="1:5"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1.25" customHeight="1"/>
    <row r="345" ht="11.25" customHeight="1"/>
    <row r="346" ht="11.25" customHeight="1"/>
    <row r="347" ht="11.25" customHeight="1"/>
    <row r="348" ht="11.25" customHeight="1"/>
    <row r="349" ht="11.25" customHeight="1"/>
    <row r="350" ht="11.25" customHeight="1"/>
    <row r="351" ht="11.25" customHeight="1"/>
    <row r="352"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row r="382" ht="11.25" customHeight="1"/>
    <row r="383" ht="11.25" customHeight="1"/>
    <row r="384" ht="11.25" customHeight="1"/>
    <row r="385" ht="11.25" customHeight="1"/>
    <row r="386" ht="11.25" customHeight="1"/>
    <row r="387" ht="11.25" customHeight="1"/>
    <row r="388" ht="11.25" customHeight="1"/>
    <row r="389" ht="11.25" customHeight="1"/>
    <row r="390" ht="11.25" customHeight="1"/>
    <row r="391" ht="11.25" customHeight="1"/>
    <row r="392" ht="11.25" customHeight="1"/>
    <row r="393" ht="11.25" customHeight="1"/>
    <row r="394" ht="11.25" customHeight="1"/>
    <row r="395" ht="11.25" customHeight="1"/>
    <row r="396" ht="11.25" customHeight="1"/>
    <row r="397" ht="11.25" customHeight="1"/>
    <row r="398" ht="11.25" customHeight="1"/>
    <row r="399" ht="11.25" customHeight="1"/>
    <row r="400" ht="11.25" customHeight="1"/>
    <row r="401" ht="11.25" customHeight="1"/>
    <row r="402" ht="11.25" customHeight="1"/>
    <row r="403" ht="11.25" customHeight="1"/>
    <row r="404" ht="11.25" customHeight="1"/>
    <row r="405" ht="11.25" customHeight="1"/>
    <row r="406" ht="11.25" customHeight="1"/>
    <row r="407" ht="11.25" customHeight="1"/>
    <row r="408" ht="11.25" customHeight="1"/>
    <row r="409" ht="11.25" customHeight="1"/>
    <row r="410" ht="11.25" customHeight="1"/>
    <row r="411" ht="11.25" customHeight="1"/>
    <row r="412" ht="11.25" customHeight="1"/>
    <row r="413" ht="11.25" customHeight="1"/>
    <row r="414" ht="11.25" customHeight="1"/>
    <row r="415" ht="11.25" customHeight="1"/>
    <row r="416" ht="11.25" customHeight="1"/>
    <row r="417" ht="11.25" customHeight="1"/>
    <row r="418" ht="11.25" customHeight="1"/>
    <row r="419" ht="11.25" customHeight="1"/>
    <row r="420" ht="11.25" customHeight="1"/>
    <row r="421" ht="11.25" customHeight="1"/>
    <row r="422" ht="11.25" customHeight="1"/>
    <row r="423" ht="11.25" customHeight="1"/>
    <row r="424" ht="11.25" customHeight="1"/>
    <row r="425" ht="11.25" customHeight="1"/>
    <row r="426" ht="11.25" customHeight="1"/>
    <row r="427" ht="11.25" customHeight="1"/>
    <row r="428" ht="11.25" customHeight="1"/>
    <row r="429" ht="11.25" customHeight="1"/>
    <row r="430" ht="11.25" customHeight="1"/>
    <row r="431" ht="11.25" customHeight="1"/>
    <row r="432" ht="11.25" customHeight="1"/>
    <row r="433" ht="11.25" customHeight="1"/>
    <row r="434" ht="11.25" customHeight="1"/>
    <row r="435" ht="11.25" customHeight="1"/>
    <row r="436" ht="11.25" customHeight="1"/>
    <row r="437" ht="11.25" customHeight="1"/>
    <row r="438" ht="11.25" customHeight="1"/>
    <row r="439" ht="11.25" customHeight="1"/>
    <row r="440" ht="11.25" customHeight="1"/>
    <row r="441" ht="11.25" customHeight="1"/>
    <row r="442" ht="11.25" customHeight="1"/>
    <row r="443" ht="11.25" customHeight="1"/>
    <row r="444" ht="11.25" customHeight="1"/>
    <row r="445" ht="11.25" customHeight="1"/>
    <row r="446" ht="11.25" customHeight="1"/>
    <row r="447" ht="11.25" customHeight="1"/>
    <row r="448" ht="11.25" customHeight="1"/>
    <row r="449" ht="11.25" customHeight="1"/>
    <row r="450" ht="11.25" customHeight="1"/>
  </sheetData>
  <mergeCells count="15">
    <mergeCell ref="CB147:CC147"/>
    <mergeCell ref="C181:E181"/>
    <mergeCell ref="C184:E184"/>
    <mergeCell ref="B2:S2"/>
    <mergeCell ref="Y4:Z4"/>
    <mergeCell ref="AH147:AN147"/>
    <mergeCell ref="AP147:AS147"/>
    <mergeCell ref="AU147:AV147"/>
    <mergeCell ref="AX147:AY147"/>
    <mergeCell ref="BA147:BF147"/>
    <mergeCell ref="BH147:BL147"/>
    <mergeCell ref="BN147:BO147"/>
    <mergeCell ref="BQ147:BS147"/>
    <mergeCell ref="BU147:BW147"/>
    <mergeCell ref="BY147:BZ147"/>
  </mergeCells>
  <pageMargins left="0.7" right="0.7" top="0.75" bottom="0.75" header="0" footer="0"/>
  <pageSetup orientation="landscape"/>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B2:G21"/>
  <sheetViews>
    <sheetView workbookViewId="0"/>
  </sheetViews>
  <sheetFormatPr defaultColWidth="16.85546875" defaultRowHeight="15" customHeight="1"/>
  <sheetData>
    <row r="2" spans="2:7" ht="22.8">
      <c r="B2" s="1557" t="s">
        <v>1442</v>
      </c>
      <c r="C2" s="1558"/>
      <c r="D2" s="1558"/>
      <c r="E2" s="1558"/>
      <c r="F2" s="47"/>
      <c r="G2" s="47"/>
    </row>
    <row r="3" spans="2:7" ht="14.4">
      <c r="B3" s="47"/>
      <c r="C3" s="47"/>
      <c r="D3" s="47"/>
      <c r="E3" s="47"/>
      <c r="F3" s="47"/>
      <c r="G3" s="47"/>
    </row>
    <row r="4" spans="2:7" ht="24">
      <c r="B4" s="1559" t="s">
        <v>77</v>
      </c>
      <c r="C4" s="1560"/>
      <c r="D4" s="1559" t="s">
        <v>1443</v>
      </c>
      <c r="E4" s="1559" t="s">
        <v>451</v>
      </c>
      <c r="F4" s="1559" t="s">
        <v>99</v>
      </c>
      <c r="G4" s="1559" t="s">
        <v>99</v>
      </c>
    </row>
    <row r="5" spans="2:7" ht="24">
      <c r="B5" s="1560"/>
      <c r="C5" s="1560"/>
      <c r="D5" s="1559" t="s">
        <v>845</v>
      </c>
      <c r="E5" s="1559" t="s">
        <v>1444</v>
      </c>
      <c r="F5" s="1559" t="s">
        <v>1445</v>
      </c>
      <c r="G5" s="1559" t="s">
        <v>758</v>
      </c>
    </row>
    <row r="6" spans="2:7" ht="14.4">
      <c r="B6" s="47"/>
      <c r="C6" s="47"/>
      <c r="D6" s="47"/>
      <c r="E6" s="47"/>
      <c r="F6" s="47"/>
      <c r="G6" s="47"/>
    </row>
    <row r="7" spans="2:7" ht="14.4">
      <c r="B7" s="1561">
        <v>2006</v>
      </c>
      <c r="C7" s="47"/>
      <c r="D7" s="1562">
        <v>7020</v>
      </c>
      <c r="E7" s="1563">
        <v>0.2</v>
      </c>
      <c r="F7" s="1564">
        <f>D7*E7*(44/12)</f>
        <v>5148</v>
      </c>
      <c r="G7" s="1565">
        <f>F7/1000000</f>
        <v>5.1479999999999998E-3</v>
      </c>
    </row>
    <row r="8" spans="2:7" ht="14.4">
      <c r="B8" s="47"/>
      <c r="C8" s="47"/>
      <c r="D8" s="47"/>
      <c r="E8" s="47"/>
      <c r="F8" s="47"/>
      <c r="G8" s="47"/>
    </row>
    <row r="9" spans="2:7" ht="14.4">
      <c r="B9" s="47"/>
      <c r="C9" s="47"/>
      <c r="D9" s="47"/>
      <c r="E9" s="47"/>
      <c r="F9" s="47"/>
      <c r="G9" s="47"/>
    </row>
    <row r="10" spans="2:7" ht="14.4">
      <c r="B10" s="1566"/>
      <c r="C10" s="1566"/>
      <c r="D10" s="1566"/>
      <c r="E10" s="1566"/>
      <c r="F10" s="1566"/>
      <c r="G10" s="1566"/>
    </row>
    <row r="11" spans="2:7" ht="14.4">
      <c r="B11" s="47"/>
      <c r="C11" s="47"/>
      <c r="D11" s="47"/>
      <c r="E11" s="47"/>
      <c r="F11" s="47"/>
      <c r="G11" s="47"/>
    </row>
    <row r="12" spans="2:7" ht="10.8">
      <c r="B12" s="1733" t="s">
        <v>1446</v>
      </c>
      <c r="C12" s="1734"/>
      <c r="D12" s="1734"/>
      <c r="E12" s="1734"/>
      <c r="F12" s="1734"/>
      <c r="G12" s="1735"/>
    </row>
    <row r="13" spans="2:7" ht="14.4">
      <c r="B13" s="47"/>
      <c r="C13" s="47"/>
      <c r="D13" s="47"/>
      <c r="E13" s="1566"/>
      <c r="F13" s="1566"/>
      <c r="G13" s="1566"/>
    </row>
    <row r="14" spans="2:7" ht="22.8">
      <c r="B14" s="1567" t="s">
        <v>1447</v>
      </c>
      <c r="C14" s="1560"/>
      <c r="D14" s="1560"/>
      <c r="E14" s="1560"/>
      <c r="F14" s="47"/>
      <c r="G14" s="47"/>
    </row>
    <row r="15" spans="2:7" ht="14.4">
      <c r="B15" s="47"/>
      <c r="C15" s="47"/>
      <c r="D15" s="47"/>
      <c r="E15" s="47"/>
      <c r="F15" s="47"/>
      <c r="G15" s="47"/>
    </row>
    <row r="16" spans="2:7" ht="21.6">
      <c r="B16" s="1568" t="s">
        <v>77</v>
      </c>
      <c r="C16" s="1569"/>
      <c r="D16" s="1568" t="s">
        <v>1448</v>
      </c>
      <c r="E16" s="1568" t="s">
        <v>451</v>
      </c>
      <c r="F16" s="1568" t="s">
        <v>99</v>
      </c>
      <c r="G16" s="1568" t="s">
        <v>1449</v>
      </c>
    </row>
    <row r="17" spans="2:7" ht="21.6">
      <c r="B17" s="1569"/>
      <c r="C17" s="1569"/>
      <c r="D17" s="1568" t="s">
        <v>1450</v>
      </c>
      <c r="E17" s="1568" t="s">
        <v>1451</v>
      </c>
      <c r="F17" s="1568" t="s">
        <v>1445</v>
      </c>
      <c r="G17" s="1568" t="s">
        <v>758</v>
      </c>
    </row>
    <row r="18" spans="2:7" ht="14.4">
      <c r="B18" s="47"/>
      <c r="C18" s="47"/>
      <c r="D18" s="47"/>
      <c r="E18" s="47"/>
      <c r="F18" s="47"/>
      <c r="G18" s="1570"/>
    </row>
    <row r="19" spans="2:7" ht="10.199999999999999">
      <c r="B19" s="1571">
        <v>2006</v>
      </c>
      <c r="C19" s="1572" t="s">
        <v>56</v>
      </c>
      <c r="D19" s="1573">
        <v>459.67</v>
      </c>
      <c r="E19" s="1574">
        <v>5.8999999999999997E-2</v>
      </c>
      <c r="F19" s="1575">
        <f t="shared" ref="F19:F20" si="0">D19*E19*(44/12)*1000</f>
        <v>99441.943333333329</v>
      </c>
      <c r="G19" s="1576">
        <f t="shared" ref="G19:G20" si="1">F19/1000000</f>
        <v>9.9441943333333324E-2</v>
      </c>
    </row>
    <row r="20" spans="2:7" ht="10.199999999999999">
      <c r="B20" s="1571">
        <v>2006</v>
      </c>
      <c r="C20" s="1572" t="s">
        <v>59</v>
      </c>
      <c r="D20" s="1573">
        <v>75.97</v>
      </c>
      <c r="E20" s="1574">
        <v>6.4000000000000001E-2</v>
      </c>
      <c r="F20" s="1577">
        <f t="shared" si="0"/>
        <v>17827.626666666663</v>
      </c>
      <c r="G20" s="1578">
        <f t="shared" si="1"/>
        <v>1.7827626666666662E-2</v>
      </c>
    </row>
    <row r="21" spans="2:7" ht="10.199999999999999">
      <c r="B21" s="1579"/>
      <c r="C21" s="1579"/>
      <c r="D21" s="1579"/>
      <c r="E21" s="1579"/>
      <c r="F21" s="1579"/>
      <c r="G21" s="1580">
        <f>G19+G20</f>
        <v>0.11726956999999999</v>
      </c>
    </row>
  </sheetData>
  <mergeCells count="1">
    <mergeCell ref="B12:G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000"/>
  <sheetViews>
    <sheetView workbookViewId="0"/>
  </sheetViews>
  <sheetFormatPr defaultColWidth="16.85546875" defaultRowHeight="15" customHeight="1"/>
  <cols>
    <col min="1" max="1" width="8" customWidth="1"/>
    <col min="2" max="2" width="35.7109375" customWidth="1"/>
    <col min="3" max="3" width="21.7109375" customWidth="1"/>
    <col min="4" max="4" width="15.7109375" customWidth="1"/>
    <col min="5" max="5" width="16.140625" customWidth="1"/>
    <col min="6" max="6" width="17.140625" customWidth="1"/>
    <col min="7" max="7" width="19.140625" customWidth="1"/>
    <col min="8" max="8" width="14.42578125" customWidth="1"/>
    <col min="9" max="9" width="19.85546875" customWidth="1"/>
    <col min="10" max="10" width="25.42578125" customWidth="1"/>
    <col min="11" max="11" width="8" customWidth="1"/>
  </cols>
  <sheetData>
    <row r="1" spans="1:11" ht="33" customHeight="1">
      <c r="A1" s="17" t="s">
        <v>1004</v>
      </c>
      <c r="B1" s="171"/>
      <c r="C1" s="13"/>
      <c r="G1" s="14"/>
      <c r="H1" s="14"/>
    </row>
    <row r="2" spans="1:11" ht="54" customHeight="1"/>
    <row r="3" spans="1:11" ht="12" customHeight="1"/>
    <row r="4" spans="1:11" ht="12" customHeight="1">
      <c r="B4" s="174"/>
      <c r="C4" s="176"/>
      <c r="D4" s="176"/>
      <c r="E4" s="176">
        <v>2006</v>
      </c>
      <c r="F4" s="176"/>
      <c r="G4" s="176"/>
      <c r="H4" s="176"/>
      <c r="I4" s="176"/>
      <c r="J4" s="176"/>
      <c r="K4" s="175"/>
    </row>
    <row r="5" spans="1:11" ht="12" customHeight="1">
      <c r="B5" s="182"/>
      <c r="C5" s="14"/>
      <c r="D5" s="14"/>
      <c r="E5" s="14"/>
      <c r="F5" s="14"/>
      <c r="G5" s="14"/>
      <c r="H5" s="14"/>
      <c r="I5" s="14"/>
      <c r="J5" s="14"/>
      <c r="K5" s="197"/>
    </row>
    <row r="6" spans="1:11" ht="15" customHeight="1">
      <c r="B6" s="1060"/>
      <c r="C6" s="1061"/>
      <c r="D6" s="1062" t="s">
        <v>1005</v>
      </c>
      <c r="E6" s="1062" t="s">
        <v>1006</v>
      </c>
      <c r="F6" s="1062" t="s">
        <v>1007</v>
      </c>
      <c r="G6" s="1062" t="s">
        <v>1008</v>
      </c>
      <c r="H6" s="1062" t="s">
        <v>152</v>
      </c>
      <c r="I6" s="1062" t="s">
        <v>1009</v>
      </c>
      <c r="J6" s="1062" t="s">
        <v>1010</v>
      </c>
      <c r="K6" s="181"/>
    </row>
    <row r="7" spans="1:11" ht="11.25" customHeight="1">
      <c r="B7" s="182"/>
      <c r="C7" s="14"/>
      <c r="D7" s="14"/>
      <c r="E7" s="14"/>
      <c r="F7" s="14"/>
      <c r="G7" s="14"/>
      <c r="H7" s="14" t="s">
        <v>244</v>
      </c>
      <c r="I7" s="14" t="s">
        <v>444</v>
      </c>
      <c r="J7" s="14"/>
      <c r="K7" s="197"/>
    </row>
    <row r="8" spans="1:11" ht="11.25" customHeight="1">
      <c r="B8" s="182" t="s">
        <v>1011</v>
      </c>
      <c r="C8" s="14" t="s">
        <v>1012</v>
      </c>
      <c r="D8" s="1063">
        <v>1219.623</v>
      </c>
      <c r="E8" s="1063">
        <v>1080.3869999999999</v>
      </c>
      <c r="F8" s="1063">
        <v>334.29849999999999</v>
      </c>
      <c r="G8" s="1063">
        <v>379.18600000000004</v>
      </c>
      <c r="H8" s="196">
        <f>D8+E8+F8+G8</f>
        <v>3013.4945000000002</v>
      </c>
      <c r="I8" s="227">
        <f>H8*C26*C28*0.001102</f>
        <v>2996.9697919646346</v>
      </c>
      <c r="J8" s="1064">
        <v>26155300</v>
      </c>
      <c r="K8" s="197"/>
    </row>
    <row r="9" spans="1:11" ht="11.25" customHeight="1">
      <c r="B9" s="182"/>
      <c r="C9" s="14"/>
      <c r="D9" s="14"/>
      <c r="E9" s="14"/>
      <c r="F9" s="14"/>
      <c r="G9" s="14"/>
      <c r="H9" s="196"/>
      <c r="I9" s="14"/>
      <c r="J9" s="14"/>
      <c r="K9" s="197"/>
    </row>
    <row r="10" spans="1:11" ht="11.25" customHeight="1">
      <c r="B10" s="182" t="s">
        <v>1013</v>
      </c>
      <c r="C10" s="14" t="s">
        <v>1012</v>
      </c>
      <c r="D10" s="1063"/>
      <c r="E10" s="1063"/>
      <c r="F10" s="14"/>
      <c r="G10" s="14"/>
      <c r="H10" s="196">
        <v>116483</v>
      </c>
      <c r="I10" s="227">
        <f>H10*C26*C28*0.001102</f>
        <v>115844.25731568997</v>
      </c>
      <c r="J10" s="1064">
        <v>9577100</v>
      </c>
      <c r="K10" s="197"/>
    </row>
    <row r="11" spans="1:11" ht="11.25" customHeight="1">
      <c r="B11" s="182"/>
      <c r="C11" s="14"/>
      <c r="D11" s="14"/>
      <c r="E11" s="14"/>
      <c r="F11" s="14"/>
      <c r="G11" s="14"/>
      <c r="H11" s="196"/>
      <c r="I11" s="14"/>
      <c r="J11" s="14"/>
      <c r="K11" s="197"/>
    </row>
    <row r="12" spans="1:11" ht="11.25" customHeight="1">
      <c r="B12" s="182" t="s">
        <v>1014</v>
      </c>
      <c r="C12" s="14" t="s">
        <v>1012</v>
      </c>
      <c r="D12" s="1063">
        <v>207388</v>
      </c>
      <c r="E12" s="1063">
        <v>194349</v>
      </c>
      <c r="F12" s="1063">
        <v>217351</v>
      </c>
      <c r="G12" s="14"/>
      <c r="H12" s="196">
        <f>SUM(D12:G12)</f>
        <v>619088</v>
      </c>
      <c r="I12" s="227">
        <f>H12*C26*C28*0.001102</f>
        <v>615693.18761583988</v>
      </c>
      <c r="J12" s="1064">
        <v>26155300</v>
      </c>
      <c r="K12" s="197"/>
    </row>
    <row r="13" spans="1:11" ht="11.25" customHeight="1">
      <c r="B13" s="182"/>
      <c r="C13" s="14"/>
      <c r="D13" s="14"/>
      <c r="E13" s="14"/>
      <c r="F13" s="14"/>
      <c r="G13" s="14"/>
      <c r="H13" s="196"/>
      <c r="I13" s="14"/>
      <c r="J13" s="14"/>
      <c r="K13" s="197"/>
    </row>
    <row r="14" spans="1:11" ht="11.25" customHeight="1">
      <c r="B14" s="182" t="s">
        <v>1015</v>
      </c>
      <c r="C14" s="14" t="s">
        <v>1012</v>
      </c>
      <c r="D14" s="1063">
        <v>219952</v>
      </c>
      <c r="E14" s="1063">
        <v>225614.5</v>
      </c>
      <c r="F14" s="1063">
        <v>225917.2</v>
      </c>
      <c r="G14" s="1063"/>
      <c r="H14" s="196">
        <f>D14+E14+F14</f>
        <v>671483.7</v>
      </c>
      <c r="I14" s="227">
        <f>H14*C26*C28*0.001102</f>
        <v>667801.572127191</v>
      </c>
      <c r="J14" s="1064">
        <v>16300000</v>
      </c>
      <c r="K14" s="197"/>
    </row>
    <row r="15" spans="1:11" ht="11.25" customHeight="1">
      <c r="B15" s="182"/>
      <c r="C15" s="14"/>
      <c r="D15" s="14"/>
      <c r="E15" s="14"/>
      <c r="F15" s="14"/>
      <c r="G15" s="14"/>
      <c r="H15" s="196"/>
      <c r="I15" s="14"/>
      <c r="J15" s="14"/>
      <c r="K15" s="197"/>
    </row>
    <row r="16" spans="1:11" ht="12.75" customHeight="1">
      <c r="B16" s="182"/>
      <c r="C16" s="14"/>
      <c r="D16" s="14"/>
      <c r="E16" s="14"/>
      <c r="F16" s="14"/>
      <c r="G16" s="1065" t="s">
        <v>152</v>
      </c>
      <c r="H16" s="1066">
        <f t="shared" ref="H16:J16" si="0">SUM(H8:H15)</f>
        <v>1410068.1945</v>
      </c>
      <c r="I16" s="1067">
        <f t="shared" si="0"/>
        <v>1402335.9868506854</v>
      </c>
      <c r="J16" s="1067">
        <f t="shared" si="0"/>
        <v>78187700</v>
      </c>
      <c r="K16" s="197"/>
    </row>
    <row r="17" spans="2:11" ht="11.25" customHeight="1">
      <c r="B17" s="182"/>
      <c r="C17" s="14"/>
      <c r="D17" s="14"/>
      <c r="E17" s="14"/>
      <c r="F17" s="14"/>
      <c r="G17" s="14"/>
      <c r="H17" s="14"/>
      <c r="I17" s="14"/>
      <c r="J17" s="14"/>
      <c r="K17" s="197"/>
    </row>
    <row r="18" spans="2:11" ht="11.25" customHeight="1">
      <c r="B18" s="182"/>
      <c r="C18" s="14" t="s">
        <v>1016</v>
      </c>
      <c r="D18" s="14"/>
      <c r="E18" s="14"/>
      <c r="F18" s="14"/>
      <c r="G18" s="14"/>
      <c r="H18" s="14" t="s">
        <v>1017</v>
      </c>
      <c r="I18" s="201">
        <f>I16*0.90718</f>
        <v>1272171.1605512048</v>
      </c>
      <c r="J18" s="14"/>
      <c r="K18" s="197"/>
    </row>
    <row r="19" spans="2:11" ht="11.25" customHeight="1">
      <c r="B19" s="182"/>
      <c r="C19" s="14"/>
      <c r="D19" s="14"/>
      <c r="E19" s="14"/>
      <c r="F19" s="14"/>
      <c r="G19" s="14"/>
      <c r="H19" s="14"/>
      <c r="I19" s="14"/>
      <c r="J19" s="14"/>
      <c r="K19" s="197"/>
    </row>
    <row r="20" spans="2:11" ht="12" customHeight="1">
      <c r="B20" s="191"/>
      <c r="C20" s="16"/>
      <c r="D20" s="16"/>
      <c r="E20" s="16"/>
      <c r="F20" s="16"/>
      <c r="G20" s="16"/>
      <c r="H20" s="16" t="s">
        <v>1018</v>
      </c>
      <c r="I20" s="1068">
        <f>I18/1000000</f>
        <v>1.2721711605512047</v>
      </c>
      <c r="J20" s="16"/>
      <c r="K20" s="1069"/>
    </row>
    <row r="21" spans="2:11" ht="11.25" customHeight="1">
      <c r="B21" s="182"/>
      <c r="C21" s="14"/>
      <c r="D21" s="14"/>
      <c r="E21" s="14"/>
      <c r="F21" s="14"/>
      <c r="G21" s="14"/>
      <c r="H21" s="14"/>
      <c r="I21" s="14"/>
      <c r="J21" s="14"/>
      <c r="K21" s="197"/>
    </row>
    <row r="22" spans="2:11" ht="11.25" customHeight="1">
      <c r="B22" s="182"/>
      <c r="C22" s="14"/>
      <c r="D22" s="14"/>
      <c r="E22" s="14"/>
      <c r="F22" s="14"/>
      <c r="G22" s="14"/>
      <c r="H22" s="14"/>
      <c r="I22" s="14"/>
      <c r="J22" s="14"/>
      <c r="K22" s="197"/>
    </row>
    <row r="23" spans="2:11" ht="11.25" customHeight="1">
      <c r="B23" s="182"/>
      <c r="C23" s="14"/>
      <c r="D23" s="14"/>
      <c r="E23" s="14"/>
      <c r="F23" s="14"/>
      <c r="G23" s="14"/>
      <c r="H23" s="14"/>
      <c r="I23" s="14"/>
      <c r="J23" s="14"/>
      <c r="K23" s="197"/>
    </row>
    <row r="24" spans="2:11" ht="12.75" customHeight="1">
      <c r="B24" s="1070" t="s">
        <v>1019</v>
      </c>
      <c r="C24" s="1064"/>
      <c r="D24" s="1064"/>
      <c r="E24" s="1071" t="s">
        <v>399</v>
      </c>
      <c r="F24" s="14"/>
      <c r="G24" s="14"/>
      <c r="H24" s="14"/>
      <c r="I24" s="14"/>
      <c r="J24" s="14"/>
      <c r="K24" s="197"/>
    </row>
    <row r="25" spans="2:11" ht="11.25" customHeight="1">
      <c r="B25" s="182"/>
      <c r="C25" s="1064"/>
      <c r="D25" s="1064"/>
      <c r="E25" s="1064"/>
      <c r="F25" s="14"/>
      <c r="G25" s="14"/>
      <c r="H25" s="14"/>
      <c r="I25" s="14"/>
      <c r="J25" s="14"/>
      <c r="K25" s="197"/>
    </row>
    <row r="26" spans="2:11" ht="11.25" customHeight="1">
      <c r="B26" s="182" t="s">
        <v>1020</v>
      </c>
      <c r="C26" s="501">
        <v>9.9499999999999993</v>
      </c>
      <c r="D26" s="501"/>
      <c r="E26" s="1064">
        <v>1.0280000000000001E-3</v>
      </c>
      <c r="F26" s="14"/>
      <c r="G26" s="14"/>
      <c r="H26" s="14"/>
      <c r="I26" s="14"/>
      <c r="J26" s="14"/>
      <c r="K26" s="197"/>
    </row>
    <row r="27" spans="2:11" ht="11.25" customHeight="1">
      <c r="B27" s="182"/>
      <c r="C27" s="1064"/>
      <c r="D27" s="1064"/>
      <c r="E27" s="1064"/>
      <c r="F27" s="14"/>
      <c r="G27" s="14"/>
      <c r="H27" s="14"/>
      <c r="I27" s="14"/>
      <c r="J27" s="14"/>
      <c r="K27" s="197"/>
    </row>
    <row r="28" spans="2:11" ht="15.75" customHeight="1">
      <c r="B28" s="182" t="s">
        <v>1021</v>
      </c>
      <c r="C28" s="184">
        <v>90.7</v>
      </c>
      <c r="D28" s="184"/>
      <c r="E28" s="501">
        <v>53.02</v>
      </c>
      <c r="F28" s="14"/>
      <c r="G28" s="14"/>
      <c r="H28" s="14"/>
      <c r="I28" s="14"/>
      <c r="J28" s="14"/>
      <c r="K28" s="197"/>
    </row>
    <row r="29" spans="2:11" ht="11.25" customHeight="1">
      <c r="B29" s="182"/>
      <c r="C29" s="1064"/>
      <c r="D29" s="1064"/>
      <c r="E29" s="1064"/>
      <c r="F29" s="14"/>
      <c r="G29" s="14"/>
      <c r="H29" s="14"/>
      <c r="I29" s="14"/>
      <c r="J29" s="14"/>
      <c r="K29" s="197"/>
    </row>
    <row r="30" spans="2:11" ht="15.75" customHeight="1">
      <c r="B30" s="182" t="s">
        <v>1022</v>
      </c>
      <c r="C30" s="227">
        <f>H16*C26*C28*0.001102</f>
        <v>1402335.9868506854</v>
      </c>
      <c r="D30" s="485"/>
      <c r="E30" s="1072">
        <f>J16*E26*E28*0.001102</f>
        <v>4696.267976875024</v>
      </c>
      <c r="F30" s="1072"/>
      <c r="G30" s="14"/>
      <c r="H30" s="14"/>
      <c r="I30" s="14"/>
      <c r="J30" s="14"/>
      <c r="K30" s="197"/>
    </row>
    <row r="31" spans="2:11" ht="11.25" customHeight="1">
      <c r="B31" s="182"/>
      <c r="C31" s="14"/>
      <c r="D31" s="14"/>
      <c r="E31" s="14"/>
      <c r="F31" s="14"/>
      <c r="G31" s="14"/>
      <c r="H31" s="14"/>
      <c r="I31" s="14"/>
      <c r="J31" s="14"/>
      <c r="K31" s="197"/>
    </row>
    <row r="32" spans="2:11" ht="15.75" customHeight="1">
      <c r="B32" s="182" t="s">
        <v>1023</v>
      </c>
      <c r="C32" s="1072">
        <f>C30*0.90718</f>
        <v>1272171.1605512048</v>
      </c>
      <c r="D32" s="14"/>
      <c r="E32" s="208">
        <f>E30*0.90718</f>
        <v>4260.3603832614845</v>
      </c>
      <c r="F32" s="14"/>
      <c r="G32" s="14"/>
      <c r="H32" s="14"/>
      <c r="I32" s="14"/>
      <c r="J32" s="14"/>
      <c r="K32" s="197"/>
    </row>
    <row r="33" spans="2:11" ht="11.25" customHeight="1">
      <c r="B33" s="182"/>
      <c r="C33" s="14"/>
      <c r="D33" s="14"/>
      <c r="E33" s="14"/>
      <c r="F33" s="14"/>
      <c r="G33" s="14"/>
      <c r="H33" s="14"/>
      <c r="I33" s="14"/>
      <c r="J33" s="14"/>
      <c r="K33" s="197"/>
    </row>
    <row r="34" spans="2:11" ht="15.75" customHeight="1">
      <c r="B34" s="1073" t="s">
        <v>1024</v>
      </c>
      <c r="C34" s="1074">
        <f>C32/1000000</f>
        <v>1.2721711605512047</v>
      </c>
      <c r="D34" s="198"/>
      <c r="E34" s="1074">
        <f>E32/1000000</f>
        <v>4.2603603832614845E-3</v>
      </c>
      <c r="F34" s="14"/>
      <c r="G34" s="14"/>
      <c r="H34" s="14"/>
      <c r="I34" s="14"/>
      <c r="J34" s="14"/>
      <c r="K34" s="197"/>
    </row>
    <row r="35" spans="2:11" ht="11.25" customHeight="1">
      <c r="B35" s="182"/>
      <c r="C35" s="14"/>
      <c r="D35" s="14"/>
      <c r="E35" s="14"/>
      <c r="F35" s="14"/>
      <c r="G35" s="14"/>
      <c r="H35" s="14"/>
      <c r="I35" s="14"/>
      <c r="J35" s="14"/>
      <c r="K35" s="197"/>
    </row>
    <row r="36" spans="2:11" ht="11.25" customHeight="1">
      <c r="B36" s="182"/>
      <c r="C36" s="14"/>
      <c r="D36" s="14"/>
      <c r="E36" s="14"/>
      <c r="F36" s="14"/>
      <c r="G36" s="14"/>
      <c r="H36" s="14"/>
      <c r="I36" s="14"/>
      <c r="J36" s="14"/>
      <c r="K36" s="197"/>
    </row>
    <row r="37" spans="2:11" ht="11.25" customHeight="1">
      <c r="B37" s="182"/>
      <c r="C37" s="14"/>
      <c r="D37" s="14"/>
      <c r="E37" s="14"/>
      <c r="F37" s="14"/>
      <c r="G37" s="14"/>
      <c r="H37" s="14"/>
      <c r="I37" s="14"/>
      <c r="J37" s="14"/>
      <c r="K37" s="197"/>
    </row>
    <row r="38" spans="2:11" ht="11.25" customHeight="1">
      <c r="B38" s="182"/>
      <c r="C38" s="14"/>
      <c r="D38" s="14"/>
      <c r="E38" s="14"/>
      <c r="F38" s="14"/>
      <c r="G38" s="14"/>
      <c r="H38" s="14"/>
      <c r="I38" s="14"/>
      <c r="J38" s="14"/>
      <c r="K38" s="197"/>
    </row>
    <row r="39" spans="2:11" ht="14.25" customHeight="1">
      <c r="B39" s="182" t="s">
        <v>1025</v>
      </c>
      <c r="C39" s="1064">
        <v>4.1999999999999997E-3</v>
      </c>
      <c r="D39" s="14"/>
      <c r="E39" s="1064">
        <v>1E-4</v>
      </c>
      <c r="F39" s="14"/>
      <c r="G39" s="14"/>
      <c r="H39" s="14"/>
      <c r="I39" s="14"/>
      <c r="J39" s="14"/>
      <c r="K39" s="197"/>
    </row>
    <row r="40" spans="2:11" ht="11.25" customHeight="1">
      <c r="B40" s="182"/>
      <c r="C40" s="14"/>
      <c r="D40" s="14"/>
      <c r="E40" s="14"/>
      <c r="F40" s="14"/>
      <c r="G40" s="14"/>
      <c r="H40" s="14"/>
      <c r="I40" s="14"/>
      <c r="J40" s="14"/>
      <c r="K40" s="197"/>
    </row>
    <row r="41" spans="2:11" ht="15.75" customHeight="1">
      <c r="B41" s="182" t="s">
        <v>1026</v>
      </c>
      <c r="C41" s="1075">
        <f>H16*C26*C39*0.001102</f>
        <v>64.937278332666793</v>
      </c>
      <c r="D41" s="232"/>
      <c r="E41" s="1076">
        <f>J16*E26*E39*0.001102</f>
        <v>8.8575405071200011E-3</v>
      </c>
      <c r="F41" s="232"/>
      <c r="G41" s="14"/>
      <c r="H41" s="14"/>
      <c r="I41" s="14"/>
      <c r="J41" s="14"/>
      <c r="K41" s="197"/>
    </row>
    <row r="42" spans="2:11" ht="12.75" customHeight="1">
      <c r="B42" s="182"/>
      <c r="C42" s="1075"/>
      <c r="D42" s="232"/>
      <c r="E42" s="1076"/>
      <c r="F42" s="232"/>
      <c r="G42" s="14"/>
      <c r="H42" s="14"/>
      <c r="I42" s="14"/>
      <c r="J42" s="14"/>
      <c r="K42" s="197"/>
    </row>
    <row r="43" spans="2:11" ht="15.75" customHeight="1">
      <c r="B43" s="182" t="s">
        <v>1027</v>
      </c>
      <c r="C43" s="1077">
        <f>$C$55</f>
        <v>265</v>
      </c>
      <c r="D43" s="232"/>
      <c r="E43" s="1077">
        <f>$C$55</f>
        <v>265</v>
      </c>
      <c r="F43" s="232"/>
      <c r="G43" s="14"/>
      <c r="H43" s="14"/>
      <c r="I43" s="14"/>
      <c r="J43" s="14"/>
      <c r="K43" s="197"/>
    </row>
    <row r="44" spans="2:11" ht="12.75" customHeight="1">
      <c r="B44" s="182"/>
      <c r="C44" s="1078"/>
      <c r="D44" s="14"/>
      <c r="E44" s="1079"/>
      <c r="F44" s="14"/>
      <c r="G44" s="14"/>
      <c r="H44" s="14"/>
      <c r="I44" s="14"/>
      <c r="J44" s="14"/>
      <c r="K44" s="197"/>
    </row>
    <row r="45" spans="2:11" ht="14.25" customHeight="1">
      <c r="B45" s="1080" t="s">
        <v>1028</v>
      </c>
      <c r="C45" s="1081">
        <f>(C41*C43)/1000000</f>
        <v>1.72083787581567E-2</v>
      </c>
      <c r="D45" s="714"/>
      <c r="E45" s="1082">
        <f>(E41*E43)/1000000</f>
        <v>2.3472482343868001E-6</v>
      </c>
      <c r="F45" s="14"/>
      <c r="G45" s="14"/>
      <c r="H45" s="14"/>
      <c r="I45" s="14"/>
      <c r="J45" s="14"/>
      <c r="K45" s="197"/>
    </row>
    <row r="46" spans="2:11" ht="12.75" customHeight="1">
      <c r="B46" s="182"/>
      <c r="C46" s="1078"/>
      <c r="D46" s="14"/>
      <c r="E46" s="1079"/>
      <c r="F46" s="14"/>
      <c r="G46" s="14"/>
      <c r="H46" s="14"/>
      <c r="I46" s="14"/>
      <c r="J46" s="14"/>
      <c r="K46" s="197"/>
    </row>
    <row r="47" spans="2:11" ht="12.75" customHeight="1">
      <c r="B47" s="182"/>
      <c r="C47" s="1078"/>
      <c r="D47" s="14"/>
      <c r="E47" s="1079"/>
      <c r="F47" s="14"/>
      <c r="G47" s="14"/>
      <c r="H47" s="14"/>
      <c r="I47" s="14"/>
      <c r="J47" s="14"/>
      <c r="K47" s="197"/>
    </row>
    <row r="48" spans="2:11" ht="12" customHeight="1">
      <c r="B48" s="217"/>
      <c r="C48" s="218"/>
      <c r="D48" s="218"/>
      <c r="E48" s="218"/>
      <c r="F48" s="218"/>
      <c r="G48" s="218"/>
      <c r="H48" s="218"/>
      <c r="I48" s="218"/>
      <c r="J48" s="218"/>
      <c r="K48" s="219"/>
    </row>
    <row r="49" spans="2:3" ht="12" customHeight="1"/>
    <row r="50" spans="2:3" ht="11.25" customHeight="1"/>
    <row r="51" spans="2:3" ht="11.25" customHeight="1">
      <c r="B51" s="1663" t="s">
        <v>1</v>
      </c>
      <c r="C51" s="1664"/>
    </row>
    <row r="52" spans="2:3" ht="11.25" customHeight="1">
      <c r="B52" s="25"/>
      <c r="C52" s="25"/>
    </row>
    <row r="53" spans="2:3" ht="11.25" customHeight="1">
      <c r="B53" s="26" t="s">
        <v>60</v>
      </c>
      <c r="C53" s="27">
        <f>Summary!$E4</f>
        <v>1</v>
      </c>
    </row>
    <row r="54" spans="2:3" ht="11.25" customHeight="1">
      <c r="B54" s="26" t="s">
        <v>62</v>
      </c>
      <c r="C54" s="27">
        <f>Summary!$E5</f>
        <v>28</v>
      </c>
    </row>
    <row r="55" spans="2:3" ht="11.25" customHeight="1">
      <c r="B55" s="26" t="s">
        <v>63</v>
      </c>
      <c r="C55" s="27">
        <f>Summary!$E6</f>
        <v>265</v>
      </c>
    </row>
    <row r="56" spans="2:3" ht="11.25" customHeight="1">
      <c r="B56" s="26" t="s">
        <v>65</v>
      </c>
      <c r="C56" s="29">
        <f>Summary!$E7</f>
        <v>23500</v>
      </c>
    </row>
    <row r="57" spans="2:3" ht="11.25" customHeight="1">
      <c r="B57" s="26"/>
      <c r="C57" s="29"/>
    </row>
    <row r="58" spans="2:3" ht="11.25" customHeight="1"/>
    <row r="59" spans="2:3" ht="11.25" customHeight="1"/>
    <row r="60" spans="2:3" ht="11.25" customHeight="1"/>
    <row r="61" spans="2:3" ht="11.25" customHeight="1"/>
    <row r="62" spans="2:3" ht="11.25" customHeight="1"/>
    <row r="63" spans="2:3" ht="11.25" customHeight="1"/>
    <row r="64" spans="2:3"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51:C51"/>
  </mergeCells>
  <pageMargins left="0.7" right="0.7" top="0.75" bottom="0.75" header="0" footer="0"/>
  <pageSetup orientation="landscape"/>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1000"/>
  <sheetViews>
    <sheetView workbookViewId="0"/>
  </sheetViews>
  <sheetFormatPr defaultColWidth="16.85546875" defaultRowHeight="15" customHeight="1"/>
  <cols>
    <col min="1" max="1" width="3.140625" customWidth="1"/>
    <col min="2" max="2" width="17.28515625" customWidth="1"/>
    <col min="3" max="3" width="58.85546875" customWidth="1"/>
    <col min="4" max="4" width="13.28515625" customWidth="1"/>
    <col min="5" max="5" width="14.140625" customWidth="1"/>
    <col min="6" max="7" width="12.42578125" customWidth="1"/>
    <col min="8" max="9" width="10.7109375" customWidth="1"/>
    <col min="10" max="11" width="15.7109375" customWidth="1"/>
    <col min="12" max="12" width="10.7109375" customWidth="1"/>
    <col min="13" max="13" width="15.28515625" customWidth="1"/>
    <col min="14" max="14" width="10.7109375" customWidth="1"/>
    <col min="15" max="18" width="15.28515625" customWidth="1"/>
    <col min="19" max="19" width="10.7109375" customWidth="1"/>
    <col min="20" max="20" width="15.140625" customWidth="1"/>
    <col min="21" max="24" width="15.28515625" customWidth="1"/>
    <col min="25" max="26" width="8" customWidth="1"/>
  </cols>
  <sheetData>
    <row r="1" spans="1:26" ht="33" customHeight="1">
      <c r="A1" s="971" t="s">
        <v>886</v>
      </c>
      <c r="B1" s="972"/>
      <c r="C1" s="46"/>
      <c r="D1" s="46"/>
      <c r="E1" s="46"/>
      <c r="F1" s="46"/>
      <c r="G1" s="46"/>
      <c r="H1" s="46"/>
      <c r="I1" s="46"/>
      <c r="J1" s="46"/>
      <c r="K1" s="46"/>
      <c r="L1" s="46"/>
      <c r="M1" s="46"/>
      <c r="N1" s="46"/>
      <c r="O1" s="46"/>
      <c r="P1" s="46"/>
      <c r="Q1" s="46"/>
      <c r="R1" s="46"/>
      <c r="S1" s="46"/>
      <c r="T1" s="46"/>
      <c r="U1" s="46"/>
      <c r="V1" s="46"/>
      <c r="W1" s="46"/>
      <c r="X1" s="46"/>
      <c r="Y1" s="46"/>
      <c r="Z1" s="46"/>
    </row>
    <row r="2" spans="1:26" ht="107.25" customHeight="1">
      <c r="A2" s="46"/>
      <c r="B2" s="46"/>
      <c r="C2" s="46"/>
      <c r="D2" s="46"/>
      <c r="E2" s="46"/>
      <c r="F2" s="46"/>
      <c r="G2" s="46"/>
      <c r="H2" s="46"/>
      <c r="I2" s="46"/>
      <c r="J2" s="46"/>
      <c r="K2" s="46"/>
      <c r="L2" s="46"/>
      <c r="M2" s="46"/>
      <c r="N2" s="46"/>
      <c r="O2" s="46"/>
      <c r="P2" s="46"/>
      <c r="Q2" s="46"/>
      <c r="R2" s="46"/>
      <c r="S2" s="46"/>
      <c r="T2" s="46"/>
      <c r="U2" s="46"/>
      <c r="V2" s="46"/>
      <c r="W2" s="46"/>
      <c r="X2" s="46"/>
      <c r="Y2" s="46"/>
      <c r="Z2" s="46"/>
    </row>
    <row r="3" spans="1:26" ht="11.25" customHeight="1">
      <c r="A3" s="46"/>
      <c r="B3" s="46"/>
      <c r="C3" s="46"/>
      <c r="D3" s="46"/>
      <c r="E3" s="46"/>
      <c r="F3" s="46"/>
      <c r="G3" s="46"/>
      <c r="H3" s="46"/>
      <c r="I3" s="46" t="s">
        <v>887</v>
      </c>
      <c r="J3" s="46"/>
      <c r="K3" s="46"/>
      <c r="L3" s="46"/>
      <c r="M3" s="46"/>
      <c r="N3" s="46"/>
      <c r="O3" s="46"/>
      <c r="P3" s="46"/>
      <c r="Q3" s="46"/>
      <c r="R3" s="46"/>
      <c r="S3" s="46"/>
      <c r="T3" s="46"/>
      <c r="U3" s="46"/>
      <c r="V3" s="46"/>
      <c r="W3" s="46"/>
      <c r="X3" s="46"/>
      <c r="Y3" s="46"/>
      <c r="Z3" s="46"/>
    </row>
    <row r="4" spans="1:26" ht="11.25" customHeight="1">
      <c r="A4" s="46"/>
      <c r="B4" s="46"/>
      <c r="C4" s="46"/>
      <c r="D4" s="46"/>
      <c r="E4" s="46"/>
      <c r="F4" s="46"/>
      <c r="G4" s="46"/>
      <c r="H4" s="973"/>
      <c r="I4" s="46" t="s">
        <v>888</v>
      </c>
      <c r="J4" s="46"/>
      <c r="K4" s="46"/>
      <c r="L4" s="46"/>
      <c r="M4" s="46"/>
      <c r="N4" s="46"/>
      <c r="O4" s="46"/>
      <c r="P4" s="46"/>
      <c r="Q4" s="46"/>
      <c r="R4" s="46"/>
      <c r="S4" s="46"/>
      <c r="T4" s="46"/>
      <c r="U4" s="46"/>
      <c r="V4" s="46"/>
      <c r="W4" s="46"/>
      <c r="X4" s="46"/>
      <c r="Y4" s="46"/>
      <c r="Z4" s="46"/>
    </row>
    <row r="5" spans="1:26" ht="11.25" customHeight="1">
      <c r="A5" s="46"/>
      <c r="B5" s="46"/>
      <c r="C5" s="46"/>
      <c r="D5" s="46"/>
      <c r="E5" s="46"/>
      <c r="F5" s="46"/>
      <c r="G5" s="46"/>
      <c r="H5" s="974"/>
      <c r="I5" s="46" t="s">
        <v>889</v>
      </c>
      <c r="J5" s="46"/>
      <c r="K5" s="46"/>
      <c r="L5" s="46"/>
      <c r="M5" s="46"/>
      <c r="N5" s="46"/>
      <c r="O5" s="46"/>
      <c r="P5" s="46"/>
      <c r="Q5" s="46"/>
      <c r="R5" s="46"/>
      <c r="S5" s="46"/>
      <c r="T5" s="46"/>
      <c r="U5" s="46"/>
      <c r="V5" s="46"/>
      <c r="W5" s="46"/>
      <c r="X5" s="46"/>
      <c r="Y5" s="46"/>
      <c r="Z5" s="46"/>
    </row>
    <row r="6" spans="1:26" ht="12.75" customHeight="1">
      <c r="A6" s="46"/>
      <c r="B6" s="46"/>
      <c r="C6" s="46"/>
      <c r="D6" s="46"/>
      <c r="E6" s="170"/>
      <c r="F6" s="46"/>
      <c r="G6" s="46"/>
      <c r="H6" s="170"/>
      <c r="I6" s="170"/>
      <c r="J6" s="46"/>
      <c r="K6" s="46"/>
      <c r="L6" s="46"/>
      <c r="M6" s="46"/>
      <c r="N6" s="46"/>
      <c r="O6" s="46"/>
      <c r="P6" s="46"/>
      <c r="Q6" s="46"/>
      <c r="R6" s="46"/>
      <c r="S6" s="46"/>
      <c r="T6" s="46"/>
      <c r="U6" s="46"/>
      <c r="V6" s="46"/>
      <c r="W6" s="46"/>
      <c r="X6" s="46"/>
      <c r="Y6" s="46"/>
      <c r="Z6" s="46"/>
    </row>
    <row r="7" spans="1:26" ht="13.5" customHeight="1">
      <c r="A7" s="46"/>
      <c r="B7" s="46"/>
      <c r="C7" s="46"/>
      <c r="D7" s="46"/>
      <c r="E7" s="170"/>
      <c r="F7" s="46"/>
      <c r="G7" s="46"/>
      <c r="H7" s="170"/>
      <c r="I7" s="170"/>
      <c r="J7" s="46"/>
      <c r="K7" s="46"/>
      <c r="L7" s="46"/>
      <c r="M7" s="46"/>
      <c r="N7" s="46"/>
      <c r="O7" s="46"/>
      <c r="P7" s="46"/>
      <c r="Q7" s="46"/>
      <c r="R7" s="46"/>
      <c r="S7" s="46"/>
      <c r="T7" s="46"/>
      <c r="U7" s="46"/>
      <c r="V7" s="46"/>
      <c r="W7" s="46"/>
      <c r="X7" s="46"/>
      <c r="Y7" s="46"/>
      <c r="Z7" s="46"/>
    </row>
    <row r="8" spans="1:26" ht="61.8">
      <c r="A8" s="46"/>
      <c r="B8" s="975" t="s">
        <v>890</v>
      </c>
      <c r="C8" s="976" t="s">
        <v>891</v>
      </c>
      <c r="D8" s="977" t="s">
        <v>892</v>
      </c>
      <c r="E8" s="978" t="s">
        <v>893</v>
      </c>
      <c r="F8" s="977" t="s">
        <v>894</v>
      </c>
      <c r="G8" s="977" t="s">
        <v>895</v>
      </c>
      <c r="H8" s="978" t="s">
        <v>896</v>
      </c>
      <c r="I8" s="978" t="s">
        <v>897</v>
      </c>
      <c r="J8" s="977" t="s">
        <v>898</v>
      </c>
      <c r="K8" s="977" t="s">
        <v>899</v>
      </c>
      <c r="L8" s="977" t="s">
        <v>900</v>
      </c>
      <c r="M8" s="977" t="s">
        <v>901</v>
      </c>
      <c r="N8" s="977" t="s">
        <v>902</v>
      </c>
      <c r="O8" s="977" t="s">
        <v>903</v>
      </c>
      <c r="P8" s="977" t="s">
        <v>904</v>
      </c>
      <c r="Q8" s="977" t="s">
        <v>905</v>
      </c>
      <c r="R8" s="977" t="s">
        <v>906</v>
      </c>
      <c r="S8" s="977" t="s">
        <v>907</v>
      </c>
      <c r="T8" s="977" t="s">
        <v>908</v>
      </c>
      <c r="U8" s="977" t="s">
        <v>909</v>
      </c>
      <c r="V8" s="977" t="s">
        <v>910</v>
      </c>
      <c r="W8" s="977" t="s">
        <v>911</v>
      </c>
      <c r="X8" s="979" t="s">
        <v>912</v>
      </c>
      <c r="Y8" s="46"/>
      <c r="Z8" s="46"/>
    </row>
    <row r="9" spans="1:26" ht="12.75" customHeight="1">
      <c r="A9" s="46"/>
      <c r="B9" s="268"/>
      <c r="C9" s="274"/>
      <c r="D9" s="274"/>
      <c r="E9" s="980"/>
      <c r="F9" s="57"/>
      <c r="G9" s="57"/>
      <c r="H9" s="981"/>
      <c r="I9" s="981"/>
      <c r="J9" s="274"/>
      <c r="K9" s="274"/>
      <c r="L9" s="274"/>
      <c r="M9" s="274"/>
      <c r="N9" s="274"/>
      <c r="O9" s="437"/>
      <c r="P9" s="437"/>
      <c r="Q9" s="437"/>
      <c r="R9" s="437"/>
      <c r="S9" s="274"/>
      <c r="T9" s="437"/>
      <c r="U9" s="274"/>
      <c r="V9" s="274"/>
      <c r="W9" s="274"/>
      <c r="X9" s="768"/>
      <c r="Y9" s="46"/>
      <c r="Z9" s="46"/>
    </row>
    <row r="10" spans="1:26" ht="12.75" customHeight="1">
      <c r="A10" s="46"/>
      <c r="B10" s="982" t="s">
        <v>913</v>
      </c>
      <c r="C10" s="983" t="s">
        <v>914</v>
      </c>
      <c r="D10" s="984">
        <v>4.26</v>
      </c>
      <c r="E10" s="985">
        <f t="shared" ref="E10:E11" si="0">D10*1000000*0.9071847</f>
        <v>3864606.8219999997</v>
      </c>
      <c r="F10" s="986">
        <v>125000</v>
      </c>
      <c r="G10" s="986">
        <f t="shared" ref="G10:G11" si="1">F10*0.9071847</f>
        <v>113398.08749999999</v>
      </c>
      <c r="H10" s="987">
        <v>1992</v>
      </c>
      <c r="I10" s="988">
        <v>2015</v>
      </c>
      <c r="J10" s="989">
        <v>9505</v>
      </c>
      <c r="K10" s="989">
        <v>3464</v>
      </c>
      <c r="L10" s="990">
        <v>0.8</v>
      </c>
      <c r="M10" s="989">
        <f>K10*L10</f>
        <v>2771.2000000000003</v>
      </c>
      <c r="N10" s="990">
        <v>0.98</v>
      </c>
      <c r="O10" s="989">
        <f>M10*N10</f>
        <v>2715.7760000000003</v>
      </c>
      <c r="P10" s="989">
        <f>O10*2.75</f>
        <v>7468.3840000000009</v>
      </c>
      <c r="Q10" s="989">
        <f>M10*(1-N10)</f>
        <v>55.424000000000056</v>
      </c>
      <c r="R10" s="989">
        <f>K10*(1-L10)</f>
        <v>692.79999999999984</v>
      </c>
      <c r="S10" s="990">
        <v>0.1</v>
      </c>
      <c r="T10" s="989">
        <f t="shared" ref="T10:T11" si="2">R10*S10</f>
        <v>69.279999999999987</v>
      </c>
      <c r="U10" s="989">
        <f t="shared" ref="U10:U11" si="3">R10*(1-S10)</f>
        <v>623.51999999999987</v>
      </c>
      <c r="V10" s="989">
        <f>U10+Q10</f>
        <v>678.94399999999996</v>
      </c>
      <c r="W10" s="989">
        <f t="shared" ref="W10:W11" si="4">V10*$D$83</f>
        <v>19010.432000000001</v>
      </c>
      <c r="X10" s="991">
        <f>J10+P10+W10</f>
        <v>35983.816000000006</v>
      </c>
      <c r="Y10" s="46"/>
      <c r="Z10" s="46"/>
    </row>
    <row r="11" spans="1:26" ht="12" customHeight="1">
      <c r="A11" s="46"/>
      <c r="B11" s="268"/>
      <c r="C11" s="274" t="s">
        <v>915</v>
      </c>
      <c r="D11" s="992">
        <v>1.5</v>
      </c>
      <c r="E11" s="993">
        <f t="shared" si="0"/>
        <v>1360777.05</v>
      </c>
      <c r="F11" s="994">
        <v>75000</v>
      </c>
      <c r="G11" s="994">
        <f t="shared" si="1"/>
        <v>68038.852499999994</v>
      </c>
      <c r="H11" s="57">
        <v>1971</v>
      </c>
      <c r="I11" s="995">
        <v>1992</v>
      </c>
      <c r="J11" s="996">
        <v>4319</v>
      </c>
      <c r="K11" s="996">
        <v>1574</v>
      </c>
      <c r="L11" s="997"/>
      <c r="M11" s="437"/>
      <c r="N11" s="997"/>
      <c r="O11" s="437"/>
      <c r="P11" s="437"/>
      <c r="Q11" s="437"/>
      <c r="R11" s="996">
        <f>K11</f>
        <v>1574</v>
      </c>
      <c r="S11" s="998">
        <v>0.1</v>
      </c>
      <c r="T11" s="996">
        <f t="shared" si="2"/>
        <v>157.4</v>
      </c>
      <c r="U11" s="996">
        <f t="shared" si="3"/>
        <v>1416.6000000000001</v>
      </c>
      <c r="V11" s="996">
        <f>U11</f>
        <v>1416.6000000000001</v>
      </c>
      <c r="W11" s="996">
        <f t="shared" si="4"/>
        <v>39664.800000000003</v>
      </c>
      <c r="X11" s="999">
        <f>J11+W11</f>
        <v>43983.8</v>
      </c>
      <c r="Y11" s="46"/>
      <c r="Z11" s="46"/>
    </row>
    <row r="12" spans="1:26" ht="12.75" customHeight="1">
      <c r="A12" s="46"/>
      <c r="B12" s="268"/>
      <c r="C12" s="274"/>
      <c r="D12" s="1000"/>
      <c r="E12" s="472"/>
      <c r="F12" s="994"/>
      <c r="G12" s="994"/>
      <c r="H12" s="57"/>
      <c r="I12" s="995"/>
      <c r="J12" s="437"/>
      <c r="K12" s="437"/>
      <c r="L12" s="997"/>
      <c r="M12" s="437"/>
      <c r="N12" s="997"/>
      <c r="O12" s="437"/>
      <c r="P12" s="437"/>
      <c r="Q12" s="437"/>
      <c r="R12" s="437"/>
      <c r="S12" s="274"/>
      <c r="T12" s="437"/>
      <c r="U12" s="437"/>
      <c r="V12" s="437"/>
      <c r="W12" s="437"/>
      <c r="X12" s="1001"/>
      <c r="Y12" s="46"/>
      <c r="Z12" s="46"/>
    </row>
    <row r="13" spans="1:26" ht="12.75" customHeight="1">
      <c r="A13" s="46"/>
      <c r="B13" s="982" t="s">
        <v>916</v>
      </c>
      <c r="C13" s="274" t="s">
        <v>917</v>
      </c>
      <c r="D13" s="992">
        <v>0.85</v>
      </c>
      <c r="E13" s="993">
        <f t="shared" ref="E13:E16" si="5">D13*1000000*0.9071847</f>
        <v>771106.995</v>
      </c>
      <c r="F13" s="994">
        <v>23000</v>
      </c>
      <c r="G13" s="994">
        <f t="shared" ref="G13:G16" si="6">F13*0.9071847</f>
        <v>20865.248100000001</v>
      </c>
      <c r="H13" s="57">
        <v>1960</v>
      </c>
      <c r="I13" s="995">
        <v>1993</v>
      </c>
      <c r="J13" s="996">
        <v>2306</v>
      </c>
      <c r="K13" s="996">
        <v>840.3</v>
      </c>
      <c r="L13" s="997"/>
      <c r="M13" s="437"/>
      <c r="N13" s="997"/>
      <c r="O13" s="437"/>
      <c r="P13" s="437"/>
      <c r="Q13" s="437"/>
      <c r="R13" s="996">
        <f t="shared" ref="R13:R14" si="7">K13</f>
        <v>840.3</v>
      </c>
      <c r="S13" s="998">
        <v>0.1</v>
      </c>
      <c r="T13" s="996">
        <f t="shared" ref="T13:T18" si="8">R13*S13</f>
        <v>84.03</v>
      </c>
      <c r="U13" s="996">
        <f t="shared" ref="U13:U18" si="9">R13*(1-S13)</f>
        <v>756.27</v>
      </c>
      <c r="V13" s="996">
        <f t="shared" ref="V13:V14" si="10">U13</f>
        <v>756.27</v>
      </c>
      <c r="W13" s="996">
        <f t="shared" ref="W13:W18" si="11">V13*$D$83</f>
        <v>21175.559999999998</v>
      </c>
      <c r="X13" s="999">
        <f t="shared" ref="X13:X18" si="12">J13+W13</f>
        <v>23481.559999999998</v>
      </c>
      <c r="Y13" s="46"/>
      <c r="Z13" s="46"/>
    </row>
    <row r="14" spans="1:26" ht="12.75" customHeight="1">
      <c r="A14" s="46"/>
      <c r="B14" s="268"/>
      <c r="C14" s="274" t="s">
        <v>918</v>
      </c>
      <c r="D14" s="992">
        <v>0.67</v>
      </c>
      <c r="E14" s="993">
        <f t="shared" si="5"/>
        <v>607813.74899999995</v>
      </c>
      <c r="F14" s="994">
        <v>11000</v>
      </c>
      <c r="G14" s="994">
        <f t="shared" si="6"/>
        <v>9979.0316999999995</v>
      </c>
      <c r="H14" s="57">
        <v>1976</v>
      </c>
      <c r="I14" s="995">
        <v>1996</v>
      </c>
      <c r="J14" s="996">
        <v>3757</v>
      </c>
      <c r="K14" s="996">
        <v>1369</v>
      </c>
      <c r="L14" s="997"/>
      <c r="M14" s="437"/>
      <c r="N14" s="997"/>
      <c r="O14" s="437"/>
      <c r="P14" s="437"/>
      <c r="Q14" s="437"/>
      <c r="R14" s="996">
        <f t="shared" si="7"/>
        <v>1369</v>
      </c>
      <c r="S14" s="998">
        <v>0.1</v>
      </c>
      <c r="T14" s="996">
        <f t="shared" si="8"/>
        <v>136.9</v>
      </c>
      <c r="U14" s="996">
        <f t="shared" si="9"/>
        <v>1232.1000000000001</v>
      </c>
      <c r="V14" s="996">
        <f t="shared" si="10"/>
        <v>1232.1000000000001</v>
      </c>
      <c r="W14" s="996">
        <f t="shared" si="11"/>
        <v>34498.800000000003</v>
      </c>
      <c r="X14" s="999">
        <f t="shared" si="12"/>
        <v>38255.800000000003</v>
      </c>
      <c r="Y14" s="46"/>
      <c r="Z14" s="46"/>
    </row>
    <row r="15" spans="1:26" ht="12.75" customHeight="1">
      <c r="A15" s="46"/>
      <c r="B15" s="268"/>
      <c r="C15" s="983" t="s">
        <v>919</v>
      </c>
      <c r="D15" s="984">
        <v>14.3</v>
      </c>
      <c r="E15" s="985">
        <f t="shared" si="5"/>
        <v>12972741.209999999</v>
      </c>
      <c r="F15" s="986">
        <v>358288</v>
      </c>
      <c r="G15" s="986">
        <f t="shared" si="6"/>
        <v>325033.39179359999</v>
      </c>
      <c r="H15" s="987">
        <v>1975</v>
      </c>
      <c r="I15" s="988">
        <v>2060</v>
      </c>
      <c r="J15" s="989">
        <v>18620</v>
      </c>
      <c r="K15" s="989">
        <v>6787</v>
      </c>
      <c r="L15" s="990">
        <v>0.95599999999999996</v>
      </c>
      <c r="M15" s="989">
        <f>K15*L15</f>
        <v>6488.3719999999994</v>
      </c>
      <c r="N15" s="1002">
        <v>0.99909999999999999</v>
      </c>
      <c r="O15" s="989">
        <f>M15*N15</f>
        <v>6482.532465199999</v>
      </c>
      <c r="P15" s="989">
        <f>O15*2.75</f>
        <v>17826.964279299998</v>
      </c>
      <c r="Q15" s="989">
        <f>M15*(1-N15)</f>
        <v>5.8395348000000764</v>
      </c>
      <c r="R15" s="989">
        <f>K15*(1-L15)</f>
        <v>298.62800000000027</v>
      </c>
      <c r="S15" s="990">
        <v>0.1</v>
      </c>
      <c r="T15" s="989">
        <f t="shared" si="8"/>
        <v>29.862800000000028</v>
      </c>
      <c r="U15" s="989">
        <f t="shared" si="9"/>
        <v>268.76520000000028</v>
      </c>
      <c r="V15" s="989">
        <f>U15+Q15</f>
        <v>274.60473480000036</v>
      </c>
      <c r="W15" s="989">
        <f t="shared" si="11"/>
        <v>7688.9325744000098</v>
      </c>
      <c r="X15" s="991">
        <f t="shared" si="12"/>
        <v>26308.932574400009</v>
      </c>
      <c r="Y15" s="46"/>
      <c r="Z15" s="46"/>
    </row>
    <row r="16" spans="1:26" ht="12.75" customHeight="1">
      <c r="A16" s="46"/>
      <c r="B16" s="268"/>
      <c r="C16" s="274" t="s">
        <v>920</v>
      </c>
      <c r="D16" s="992">
        <v>0.7</v>
      </c>
      <c r="E16" s="993">
        <f t="shared" si="5"/>
        <v>635029.28999999992</v>
      </c>
      <c r="F16" s="994">
        <v>61000</v>
      </c>
      <c r="G16" s="994">
        <f t="shared" si="6"/>
        <v>55338.2667</v>
      </c>
      <c r="H16" s="57">
        <v>1982</v>
      </c>
      <c r="I16" s="995">
        <v>1993</v>
      </c>
      <c r="J16" s="996">
        <v>2723</v>
      </c>
      <c r="K16" s="996">
        <v>992.3</v>
      </c>
      <c r="L16" s="997"/>
      <c r="M16" s="437"/>
      <c r="N16" s="997"/>
      <c r="O16" s="437"/>
      <c r="P16" s="437"/>
      <c r="Q16" s="437"/>
      <c r="R16" s="996">
        <f>K16</f>
        <v>992.3</v>
      </c>
      <c r="S16" s="998">
        <v>0.1</v>
      </c>
      <c r="T16" s="996">
        <f t="shared" si="8"/>
        <v>99.23</v>
      </c>
      <c r="U16" s="996">
        <f t="shared" si="9"/>
        <v>893.06999999999994</v>
      </c>
      <c r="V16" s="996">
        <f>U16</f>
        <v>893.06999999999994</v>
      </c>
      <c r="W16" s="996">
        <f t="shared" si="11"/>
        <v>25005.96</v>
      </c>
      <c r="X16" s="999">
        <f t="shared" si="12"/>
        <v>27728.959999999999</v>
      </c>
      <c r="Y16" s="46"/>
      <c r="Z16" s="46"/>
    </row>
    <row r="17" spans="1:26" ht="12.75" customHeight="1">
      <c r="A17" s="46"/>
      <c r="B17" s="268"/>
      <c r="C17" s="983" t="s">
        <v>921</v>
      </c>
      <c r="D17" s="983"/>
      <c r="E17" s="985">
        <v>1122641.432</v>
      </c>
      <c r="F17" s="987"/>
      <c r="G17" s="986"/>
      <c r="H17" s="987">
        <v>1963</v>
      </c>
      <c r="I17" s="988">
        <v>1982</v>
      </c>
      <c r="J17" s="989">
        <f>2485</f>
        <v>2485</v>
      </c>
      <c r="K17" s="989">
        <f>905.8</f>
        <v>905.8</v>
      </c>
      <c r="L17" s="990">
        <f>8.61%</f>
        <v>8.6099999999999996E-2</v>
      </c>
      <c r="M17" s="989">
        <f>K17*L17</f>
        <v>77.989379999999997</v>
      </c>
      <c r="N17" s="1002">
        <v>0.99909999999999999</v>
      </c>
      <c r="O17" s="989">
        <f>M17*N17</f>
        <v>77.919189557999999</v>
      </c>
      <c r="P17" s="989">
        <f>O17*2.75</f>
        <v>214.27777128450001</v>
      </c>
      <c r="Q17" s="989">
        <f>M17*(1-N17)</f>
        <v>7.0190442000000922E-2</v>
      </c>
      <c r="R17" s="989">
        <f>K17*(1-L17)</f>
        <v>827.81061999999997</v>
      </c>
      <c r="S17" s="990">
        <v>0.1</v>
      </c>
      <c r="T17" s="989">
        <f t="shared" si="8"/>
        <v>82.781062000000006</v>
      </c>
      <c r="U17" s="989">
        <f t="shared" si="9"/>
        <v>745.02955799999995</v>
      </c>
      <c r="V17" s="989">
        <f>U17+Q17</f>
        <v>745.09974844199996</v>
      </c>
      <c r="W17" s="989">
        <f t="shared" si="11"/>
        <v>20862.792956375997</v>
      </c>
      <c r="X17" s="991">
        <f t="shared" si="12"/>
        <v>23347.792956375997</v>
      </c>
      <c r="Y17" s="46"/>
      <c r="Z17" s="46"/>
    </row>
    <row r="18" spans="1:26" ht="12.75" customHeight="1">
      <c r="A18" s="46"/>
      <c r="B18" s="268"/>
      <c r="C18" s="274" t="s">
        <v>922</v>
      </c>
      <c r="D18" s="1000"/>
      <c r="E18" s="993">
        <v>3487273</v>
      </c>
      <c r="F18" s="994"/>
      <c r="G18" s="994"/>
      <c r="H18" s="57">
        <v>1953</v>
      </c>
      <c r="I18" s="995">
        <v>1982</v>
      </c>
      <c r="J18" s="996">
        <f>7040</f>
        <v>7040</v>
      </c>
      <c r="K18" s="996">
        <f>2566</f>
        <v>2566</v>
      </c>
      <c r="L18" s="997"/>
      <c r="M18" s="437"/>
      <c r="N18" s="997"/>
      <c r="O18" s="437"/>
      <c r="P18" s="437"/>
      <c r="Q18" s="437"/>
      <c r="R18" s="996">
        <f>K18</f>
        <v>2566</v>
      </c>
      <c r="S18" s="998">
        <v>0.1</v>
      </c>
      <c r="T18" s="996">
        <f t="shared" si="8"/>
        <v>256.60000000000002</v>
      </c>
      <c r="U18" s="996">
        <f t="shared" si="9"/>
        <v>2309.4</v>
      </c>
      <c r="V18" s="996">
        <f>U18</f>
        <v>2309.4</v>
      </c>
      <c r="W18" s="996">
        <f t="shared" si="11"/>
        <v>64663.200000000004</v>
      </c>
      <c r="X18" s="999">
        <f t="shared" si="12"/>
        <v>71703.200000000012</v>
      </c>
      <c r="Y18" s="46"/>
      <c r="Z18" s="46"/>
    </row>
    <row r="19" spans="1:26" ht="12.75" customHeight="1">
      <c r="A19" s="46"/>
      <c r="B19" s="268"/>
      <c r="C19" s="274"/>
      <c r="D19" s="1000"/>
      <c r="E19" s="472"/>
      <c r="F19" s="994"/>
      <c r="G19" s="994"/>
      <c r="H19" s="57"/>
      <c r="I19" s="995"/>
      <c r="J19" s="437"/>
      <c r="K19" s="437"/>
      <c r="L19" s="997"/>
      <c r="M19" s="437"/>
      <c r="N19" s="997"/>
      <c r="O19" s="437"/>
      <c r="P19" s="437"/>
      <c r="Q19" s="437"/>
      <c r="R19" s="437"/>
      <c r="S19" s="997"/>
      <c r="T19" s="437"/>
      <c r="U19" s="437"/>
      <c r="V19" s="437"/>
      <c r="W19" s="437"/>
      <c r="X19" s="1001"/>
      <c r="Y19" s="46"/>
      <c r="Z19" s="46"/>
    </row>
    <row r="20" spans="1:26" ht="12.75" customHeight="1">
      <c r="A20" s="46"/>
      <c r="B20" s="982" t="s">
        <v>923</v>
      </c>
      <c r="C20" s="274" t="s">
        <v>924</v>
      </c>
      <c r="D20" s="992">
        <v>18.320622</v>
      </c>
      <c r="E20" s="993">
        <f>D20*1000000*0.9071847</f>
        <v>16620187.9728834</v>
      </c>
      <c r="F20" s="994">
        <v>523000</v>
      </c>
      <c r="G20" s="994">
        <f>F20*0.9071847</f>
        <v>474457.5981</v>
      </c>
      <c r="H20" s="57">
        <v>1985</v>
      </c>
      <c r="I20" s="995">
        <v>2019</v>
      </c>
      <c r="J20" s="996">
        <v>45940</v>
      </c>
      <c r="K20" s="996">
        <v>16740</v>
      </c>
      <c r="L20" s="997"/>
      <c r="M20" s="437"/>
      <c r="N20" s="997"/>
      <c r="O20" s="437"/>
      <c r="P20" s="437"/>
      <c r="Q20" s="437"/>
      <c r="R20" s="996">
        <f>K20</f>
        <v>16740</v>
      </c>
      <c r="S20" s="998">
        <v>0.1</v>
      </c>
      <c r="T20" s="996">
        <f>R20*S20</f>
        <v>1674</v>
      </c>
      <c r="U20" s="996">
        <f>R20*(1-S20)</f>
        <v>15066</v>
      </c>
      <c r="V20" s="996">
        <f>U20</f>
        <v>15066</v>
      </c>
      <c r="W20" s="996">
        <f>V20*$D$83</f>
        <v>421848</v>
      </c>
      <c r="X20" s="999">
        <f>J20+W20</f>
        <v>467788</v>
      </c>
      <c r="Y20" s="46"/>
      <c r="Z20" s="46"/>
    </row>
    <row r="21" spans="1:26" ht="12.75" customHeight="1">
      <c r="A21" s="46"/>
      <c r="B21" s="982"/>
      <c r="C21" s="274"/>
      <c r="D21" s="992"/>
      <c r="E21" s="993"/>
      <c r="F21" s="994"/>
      <c r="G21" s="994"/>
      <c r="H21" s="57"/>
      <c r="I21" s="995"/>
      <c r="J21" s="996"/>
      <c r="K21" s="996"/>
      <c r="L21" s="997"/>
      <c r="M21" s="437"/>
      <c r="N21" s="997"/>
      <c r="O21" s="437"/>
      <c r="P21" s="437"/>
      <c r="Q21" s="437"/>
      <c r="R21" s="996"/>
      <c r="S21" s="998"/>
      <c r="T21" s="996"/>
      <c r="U21" s="996"/>
      <c r="V21" s="996"/>
      <c r="W21" s="996"/>
      <c r="X21" s="999"/>
      <c r="Y21" s="46"/>
      <c r="Z21" s="46"/>
    </row>
    <row r="22" spans="1:26" ht="12.75" customHeight="1">
      <c r="A22" s="46"/>
      <c r="B22" s="982" t="s">
        <v>925</v>
      </c>
      <c r="C22" s="983" t="s">
        <v>926</v>
      </c>
      <c r="D22" s="984">
        <v>22.812999999999999</v>
      </c>
      <c r="E22" s="985">
        <f>D22*1000000*0.9071847</f>
        <v>20695604.561099999</v>
      </c>
      <c r="F22" s="986">
        <v>250000</v>
      </c>
      <c r="G22" s="986">
        <f>F22*0.9071847</f>
        <v>226796.17499999999</v>
      </c>
      <c r="H22" s="987">
        <v>1982</v>
      </c>
      <c r="I22" s="988">
        <v>2033</v>
      </c>
      <c r="J22" s="989">
        <f>14880</f>
        <v>14880</v>
      </c>
      <c r="K22" s="989">
        <f>7802</f>
        <v>7802</v>
      </c>
      <c r="L22" s="990">
        <v>0.85</v>
      </c>
      <c r="M22" s="989">
        <f t="shared" ref="M22:M23" si="13">K22*L22</f>
        <v>6631.7</v>
      </c>
      <c r="N22" s="990">
        <v>0.99199999999999999</v>
      </c>
      <c r="O22" s="989">
        <f t="shared" ref="O22:O23" si="14">M22*N22</f>
        <v>6578.6463999999996</v>
      </c>
      <c r="P22" s="989">
        <f t="shared" ref="P22:P23" si="15">O22*2.75</f>
        <v>18091.277599999998</v>
      </c>
      <c r="Q22" s="989">
        <f t="shared" ref="Q22:Q23" si="16">M22*(1-N22)</f>
        <v>53.053600000000046</v>
      </c>
      <c r="R22" s="989">
        <f t="shared" ref="R22:R23" si="17">K22*(1-L22)</f>
        <v>1170.3000000000002</v>
      </c>
      <c r="S22" s="990">
        <v>0.1</v>
      </c>
      <c r="T22" s="989">
        <f t="shared" ref="T22:T23" si="18">R22*S22</f>
        <v>117.03000000000003</v>
      </c>
      <c r="U22" s="989">
        <f t="shared" ref="U22:U23" si="19">R22*(1-S22)</f>
        <v>1053.2700000000002</v>
      </c>
      <c r="V22" s="989">
        <f t="shared" ref="V22:V23" si="20">U22+Q22</f>
        <v>1106.3236000000002</v>
      </c>
      <c r="W22" s="989">
        <f t="shared" ref="W22:W23" si="21">V22*$D$83</f>
        <v>30977.060800000007</v>
      </c>
      <c r="X22" s="991">
        <f t="shared" ref="X22:X23" si="22">J22+P22+W22</f>
        <v>63948.338400000008</v>
      </c>
      <c r="Y22" s="46"/>
      <c r="Z22" s="46"/>
    </row>
    <row r="23" spans="1:26" ht="12.75" customHeight="1">
      <c r="A23" s="46"/>
      <c r="B23" s="268"/>
      <c r="C23" s="983" t="s">
        <v>927</v>
      </c>
      <c r="D23" s="1003"/>
      <c r="E23" s="985">
        <v>7259745.9500000002</v>
      </c>
      <c r="F23" s="986"/>
      <c r="G23" s="986"/>
      <c r="H23" s="987">
        <v>1968</v>
      </c>
      <c r="I23" s="988">
        <v>1986</v>
      </c>
      <c r="J23" s="989">
        <f>19190</f>
        <v>19190</v>
      </c>
      <c r="K23" s="989">
        <f>6995</f>
        <v>6995</v>
      </c>
      <c r="L23" s="990">
        <v>0.21129999999999999</v>
      </c>
      <c r="M23" s="989">
        <f t="shared" si="13"/>
        <v>1478.0435</v>
      </c>
      <c r="N23" s="990">
        <v>0.98</v>
      </c>
      <c r="O23" s="989">
        <f t="shared" si="14"/>
        <v>1448.48263</v>
      </c>
      <c r="P23" s="989">
        <f t="shared" si="15"/>
        <v>3983.3272324999998</v>
      </c>
      <c r="Q23" s="989">
        <f t="shared" si="16"/>
        <v>29.560870000000026</v>
      </c>
      <c r="R23" s="989">
        <f t="shared" si="17"/>
        <v>5516.9564999999993</v>
      </c>
      <c r="S23" s="990">
        <v>0.1</v>
      </c>
      <c r="T23" s="989">
        <f t="shared" si="18"/>
        <v>551.69565</v>
      </c>
      <c r="U23" s="989">
        <f t="shared" si="19"/>
        <v>4965.2608499999997</v>
      </c>
      <c r="V23" s="989">
        <f t="shared" si="20"/>
        <v>4994.8217199999999</v>
      </c>
      <c r="W23" s="989">
        <f t="shared" si="21"/>
        <v>139855.00816</v>
      </c>
      <c r="X23" s="991">
        <f t="shared" si="22"/>
        <v>163028.33539249998</v>
      </c>
      <c r="Y23" s="46"/>
      <c r="Z23" s="46"/>
    </row>
    <row r="24" spans="1:26" ht="12.75" customHeight="1">
      <c r="A24" s="46"/>
      <c r="B24" s="268"/>
      <c r="C24" s="274"/>
      <c r="D24" s="1000"/>
      <c r="E24" s="472"/>
      <c r="F24" s="994"/>
      <c r="G24" s="994"/>
      <c r="H24" s="57"/>
      <c r="I24" s="995"/>
      <c r="J24" s="437"/>
      <c r="K24" s="437"/>
      <c r="L24" s="997"/>
      <c r="M24" s="437"/>
      <c r="N24" s="997"/>
      <c r="O24" s="437"/>
      <c r="P24" s="437"/>
      <c r="Q24" s="437"/>
      <c r="R24" s="437"/>
      <c r="S24" s="997"/>
      <c r="T24" s="437"/>
      <c r="U24" s="437"/>
      <c r="V24" s="437"/>
      <c r="W24" s="437"/>
      <c r="X24" s="1001"/>
      <c r="Y24" s="46"/>
      <c r="Z24" s="46"/>
    </row>
    <row r="25" spans="1:26" ht="12.75" customHeight="1">
      <c r="A25" s="46"/>
      <c r="B25" s="982" t="s">
        <v>928</v>
      </c>
      <c r="C25" s="274" t="s">
        <v>929</v>
      </c>
      <c r="D25" s="992">
        <v>2.7992900000000001</v>
      </c>
      <c r="E25" s="993">
        <f t="shared" ref="E25:E26" si="23">D25*1000000*0.9071847</f>
        <v>2539473.058863</v>
      </c>
      <c r="F25" s="994">
        <v>20000</v>
      </c>
      <c r="G25" s="994">
        <f t="shared" ref="G25:G26" si="24">F25*0.9071847</f>
        <v>18143.694</v>
      </c>
      <c r="H25" s="57">
        <v>1992</v>
      </c>
      <c r="I25" s="995">
        <v>2037</v>
      </c>
      <c r="J25" s="996">
        <f>2625</f>
        <v>2625</v>
      </c>
      <c r="K25" s="996">
        <f>956.6</f>
        <v>956.6</v>
      </c>
      <c r="L25" s="997"/>
      <c r="M25" s="437"/>
      <c r="N25" s="997"/>
      <c r="O25" s="437"/>
      <c r="P25" s="437"/>
      <c r="Q25" s="437"/>
      <c r="R25" s="996">
        <f t="shared" ref="R25:R26" si="25">K25</f>
        <v>956.6</v>
      </c>
      <c r="S25" s="998">
        <v>0.1</v>
      </c>
      <c r="T25" s="996">
        <f t="shared" ref="T25:T26" si="26">R25*S25</f>
        <v>95.660000000000011</v>
      </c>
      <c r="U25" s="996">
        <f t="shared" ref="U25:U26" si="27">R25*(1-S25)</f>
        <v>860.94</v>
      </c>
      <c r="V25" s="996">
        <f t="shared" ref="V25:V26" si="28">U25</f>
        <v>860.94</v>
      </c>
      <c r="W25" s="996">
        <f t="shared" ref="W25:W26" si="29">V25*$D$83</f>
        <v>24106.32</v>
      </c>
      <c r="X25" s="999">
        <f t="shared" ref="X25:X26" si="30">J25+W25</f>
        <v>26731.32</v>
      </c>
      <c r="Y25" s="46"/>
      <c r="Z25" s="46"/>
    </row>
    <row r="26" spans="1:26" ht="12.75" customHeight="1">
      <c r="A26" s="46"/>
      <c r="B26" s="268"/>
      <c r="C26" s="274" t="s">
        <v>930</v>
      </c>
      <c r="D26" s="992">
        <v>0.6</v>
      </c>
      <c r="E26" s="993">
        <f t="shared" si="23"/>
        <v>544310.81999999995</v>
      </c>
      <c r="F26" s="994">
        <v>28000</v>
      </c>
      <c r="G26" s="994">
        <f t="shared" si="24"/>
        <v>25401.171599999998</v>
      </c>
      <c r="H26" s="57">
        <v>1975</v>
      </c>
      <c r="I26" s="995">
        <v>1993</v>
      </c>
      <c r="J26" s="996">
        <v>1974</v>
      </c>
      <c r="K26" s="996">
        <v>719.3</v>
      </c>
      <c r="L26" s="997"/>
      <c r="M26" s="437"/>
      <c r="N26" s="997"/>
      <c r="O26" s="437"/>
      <c r="P26" s="437"/>
      <c r="Q26" s="437"/>
      <c r="R26" s="996">
        <f t="shared" si="25"/>
        <v>719.3</v>
      </c>
      <c r="S26" s="998">
        <v>0.1</v>
      </c>
      <c r="T26" s="996">
        <f t="shared" si="26"/>
        <v>71.929999999999993</v>
      </c>
      <c r="U26" s="996">
        <f t="shared" si="27"/>
        <v>647.37</v>
      </c>
      <c r="V26" s="996">
        <f t="shared" si="28"/>
        <v>647.37</v>
      </c>
      <c r="W26" s="996">
        <f t="shared" si="29"/>
        <v>18126.36</v>
      </c>
      <c r="X26" s="999">
        <f t="shared" si="30"/>
        <v>20100.36</v>
      </c>
      <c r="Y26" s="46"/>
      <c r="Z26" s="46"/>
    </row>
    <row r="27" spans="1:26" ht="12.75" customHeight="1">
      <c r="A27" s="46"/>
      <c r="B27" s="268"/>
      <c r="C27" s="274"/>
      <c r="D27" s="1000"/>
      <c r="E27" s="472"/>
      <c r="F27" s="994"/>
      <c r="G27" s="994"/>
      <c r="H27" s="57"/>
      <c r="I27" s="995"/>
      <c r="J27" s="437"/>
      <c r="K27" s="437"/>
      <c r="L27" s="997"/>
      <c r="M27" s="437"/>
      <c r="N27" s="997"/>
      <c r="O27" s="437"/>
      <c r="P27" s="437"/>
      <c r="Q27" s="437"/>
      <c r="R27" s="437"/>
      <c r="S27" s="997"/>
      <c r="T27" s="437"/>
      <c r="U27" s="437"/>
      <c r="V27" s="437"/>
      <c r="W27" s="437"/>
      <c r="X27" s="1001"/>
      <c r="Y27" s="46"/>
      <c r="Z27" s="46"/>
    </row>
    <row r="28" spans="1:26" ht="12.75" customHeight="1">
      <c r="A28" s="46"/>
      <c r="B28" s="982" t="s">
        <v>931</v>
      </c>
      <c r="C28" s="983" t="s">
        <v>932</v>
      </c>
      <c r="D28" s="1003"/>
      <c r="E28" s="1004"/>
      <c r="F28" s="986"/>
      <c r="G28" s="986"/>
      <c r="H28" s="987"/>
      <c r="I28" s="988"/>
      <c r="J28" s="989">
        <f>9484</f>
        <v>9484</v>
      </c>
      <c r="K28" s="989">
        <f>3456</f>
        <v>3456</v>
      </c>
      <c r="L28" s="990">
        <v>0.64</v>
      </c>
      <c r="M28" s="989">
        <f>K28*L28</f>
        <v>2211.84</v>
      </c>
      <c r="N28" s="990">
        <v>0.98</v>
      </c>
      <c r="O28" s="989">
        <f>M28*N28</f>
        <v>2167.6032</v>
      </c>
      <c r="P28" s="989">
        <f>O28*2.75</f>
        <v>5960.9088000000002</v>
      </c>
      <c r="Q28" s="989">
        <f>M28*(1-N28)</f>
        <v>44.236800000000045</v>
      </c>
      <c r="R28" s="989">
        <f>K28*(1-L28)</f>
        <v>1244.1599999999999</v>
      </c>
      <c r="S28" s="990">
        <v>0.1</v>
      </c>
      <c r="T28" s="989">
        <f>R28*S28</f>
        <v>124.416</v>
      </c>
      <c r="U28" s="989">
        <f>R28*(1-S28)</f>
        <v>1119.7439999999999</v>
      </c>
      <c r="V28" s="989">
        <f>U28+Q28</f>
        <v>1163.9808</v>
      </c>
      <c r="W28" s="989">
        <f>V28*$D$83</f>
        <v>32591.4624</v>
      </c>
      <c r="X28" s="991">
        <f>J28+P28+W28</f>
        <v>48036.371200000001</v>
      </c>
      <c r="Y28" s="46"/>
      <c r="Z28" s="46"/>
    </row>
    <row r="29" spans="1:26" ht="12.75" customHeight="1">
      <c r="A29" s="46"/>
      <c r="B29" s="268"/>
      <c r="C29" s="274"/>
      <c r="D29" s="1000"/>
      <c r="E29" s="472"/>
      <c r="F29" s="994"/>
      <c r="G29" s="994"/>
      <c r="H29" s="57"/>
      <c r="I29" s="995"/>
      <c r="J29" s="437"/>
      <c r="K29" s="437"/>
      <c r="L29" s="997"/>
      <c r="M29" s="437"/>
      <c r="N29" s="997"/>
      <c r="O29" s="437"/>
      <c r="P29" s="437"/>
      <c r="Q29" s="437"/>
      <c r="R29" s="437"/>
      <c r="S29" s="997"/>
      <c r="T29" s="437"/>
      <c r="U29" s="437"/>
      <c r="V29" s="437"/>
      <c r="W29" s="437"/>
      <c r="X29" s="1001"/>
      <c r="Y29" s="46"/>
      <c r="Z29" s="46"/>
    </row>
    <row r="30" spans="1:26" ht="12.75" customHeight="1">
      <c r="A30" s="46"/>
      <c r="B30" s="982" t="s">
        <v>933</v>
      </c>
      <c r="C30" s="274" t="s">
        <v>934</v>
      </c>
      <c r="D30" s="992">
        <v>0.5</v>
      </c>
      <c r="E30" s="993">
        <f t="shared" ref="E30:E31" si="31">D30*1000000*0.9071847</f>
        <v>453592.35</v>
      </c>
      <c r="F30" s="994">
        <v>35000</v>
      </c>
      <c r="G30" s="994">
        <f t="shared" ref="G30:G31" si="32">F30*0.9071847</f>
        <v>31751.464499999998</v>
      </c>
      <c r="H30" s="57">
        <v>1981</v>
      </c>
      <c r="I30" s="995">
        <v>1994</v>
      </c>
      <c r="J30" s="996">
        <v>1767</v>
      </c>
      <c r="K30" s="996">
        <v>643.9</v>
      </c>
      <c r="L30" s="997"/>
      <c r="M30" s="437"/>
      <c r="N30" s="997"/>
      <c r="O30" s="437"/>
      <c r="P30" s="437"/>
      <c r="Q30" s="437"/>
      <c r="R30" s="996">
        <f t="shared" ref="R30:R31" si="33">K30</f>
        <v>643.9</v>
      </c>
      <c r="S30" s="998">
        <v>0.1</v>
      </c>
      <c r="T30" s="996">
        <f t="shared" ref="T30:T31" si="34">R30*S30</f>
        <v>64.39</v>
      </c>
      <c r="U30" s="996">
        <f t="shared" ref="U30:U31" si="35">R30*(1-S30)</f>
        <v>579.51</v>
      </c>
      <c r="V30" s="996">
        <f t="shared" ref="V30:V31" si="36">U30</f>
        <v>579.51</v>
      </c>
      <c r="W30" s="996">
        <f t="shared" ref="W30:W31" si="37">V30*$D$83</f>
        <v>16226.279999999999</v>
      </c>
      <c r="X30" s="999">
        <f t="shared" ref="X30:X31" si="38">J30+W30</f>
        <v>17993.28</v>
      </c>
      <c r="Y30" s="46"/>
      <c r="Z30" s="46"/>
    </row>
    <row r="31" spans="1:26" ht="12.75" customHeight="1">
      <c r="A31" s="46"/>
      <c r="B31" s="268"/>
      <c r="C31" s="983" t="s">
        <v>935</v>
      </c>
      <c r="D31" s="984">
        <v>3.5041869999999999</v>
      </c>
      <c r="E31" s="985">
        <f t="shared" si="31"/>
        <v>3178944.8323388998</v>
      </c>
      <c r="F31" s="986">
        <v>80000</v>
      </c>
      <c r="G31" s="986">
        <f t="shared" si="32"/>
        <v>72574.775999999998</v>
      </c>
      <c r="H31" s="987">
        <v>1988</v>
      </c>
      <c r="I31" s="988">
        <v>2053</v>
      </c>
      <c r="J31" s="989">
        <v>8168</v>
      </c>
      <c r="K31" s="989">
        <v>2977</v>
      </c>
      <c r="L31" s="990">
        <v>7.0199999999999999E-2</v>
      </c>
      <c r="M31" s="989">
        <f>K31*L31</f>
        <v>208.9854</v>
      </c>
      <c r="N31" s="990">
        <v>0.97699999999999998</v>
      </c>
      <c r="O31" s="989">
        <f>M31*N31</f>
        <v>204.1787358</v>
      </c>
      <c r="P31" s="989">
        <f>O31*2.75</f>
        <v>561.49152345000005</v>
      </c>
      <c r="Q31" s="989">
        <f>M31*(1-N31)</f>
        <v>4.8066642000000046</v>
      </c>
      <c r="R31" s="989">
        <f t="shared" si="33"/>
        <v>2977</v>
      </c>
      <c r="S31" s="990">
        <v>0.1</v>
      </c>
      <c r="T31" s="989">
        <f t="shared" si="34"/>
        <v>297.7</v>
      </c>
      <c r="U31" s="989">
        <f t="shared" si="35"/>
        <v>2679.3</v>
      </c>
      <c r="V31" s="989">
        <f t="shared" si="36"/>
        <v>2679.3</v>
      </c>
      <c r="W31" s="989">
        <f t="shared" si="37"/>
        <v>75020.400000000009</v>
      </c>
      <c r="X31" s="991">
        <f t="shared" si="38"/>
        <v>83188.400000000009</v>
      </c>
      <c r="Y31" s="46"/>
      <c r="Z31" s="46"/>
    </row>
    <row r="32" spans="1:26" ht="12.75" customHeight="1">
      <c r="A32" s="46"/>
      <c r="B32" s="268"/>
      <c r="C32" s="274"/>
      <c r="D32" s="1000"/>
      <c r="E32" s="472"/>
      <c r="F32" s="994"/>
      <c r="G32" s="994"/>
      <c r="H32" s="57"/>
      <c r="I32" s="995"/>
      <c r="J32" s="437"/>
      <c r="K32" s="437"/>
      <c r="L32" s="997"/>
      <c r="M32" s="437"/>
      <c r="N32" s="997"/>
      <c r="O32" s="437"/>
      <c r="P32" s="437"/>
      <c r="Q32" s="437"/>
      <c r="R32" s="437"/>
      <c r="S32" s="997"/>
      <c r="T32" s="437"/>
      <c r="U32" s="437"/>
      <c r="V32" s="437"/>
      <c r="W32" s="437"/>
      <c r="X32" s="1001"/>
      <c r="Y32" s="46"/>
      <c r="Z32" s="46"/>
    </row>
    <row r="33" spans="1:26" ht="12.75" customHeight="1">
      <c r="A33" s="46"/>
      <c r="B33" s="982" t="s">
        <v>936</v>
      </c>
      <c r="C33" s="983" t="s">
        <v>937</v>
      </c>
      <c r="D33" s="984">
        <v>4.5049999999999999</v>
      </c>
      <c r="E33" s="985">
        <f>D33*1000000*0.9071847</f>
        <v>4086867.0734999999</v>
      </c>
      <c r="F33" s="986"/>
      <c r="G33" s="986">
        <v>60623.332999999999</v>
      </c>
      <c r="H33" s="987">
        <v>1978</v>
      </c>
      <c r="I33" s="988">
        <v>2046</v>
      </c>
      <c r="J33" s="989">
        <f>9317</f>
        <v>9317</v>
      </c>
      <c r="K33" s="989">
        <f>3396</f>
        <v>3396</v>
      </c>
      <c r="L33" s="990">
        <v>0.8</v>
      </c>
      <c r="M33" s="989">
        <f>K33*L33</f>
        <v>2716.8</v>
      </c>
      <c r="N33" s="990">
        <v>0.98</v>
      </c>
      <c r="O33" s="989">
        <f>M33*N33</f>
        <v>2662.4639999999999</v>
      </c>
      <c r="P33" s="989">
        <f>O33*2.75</f>
        <v>7321.7759999999998</v>
      </c>
      <c r="Q33" s="989">
        <f>M33*(1-N33)</f>
        <v>54.336000000000055</v>
      </c>
      <c r="R33" s="989">
        <f>K33*(1-L33)</f>
        <v>679.19999999999982</v>
      </c>
      <c r="S33" s="990">
        <v>0.1</v>
      </c>
      <c r="T33" s="989">
        <f>R33*S33</f>
        <v>67.919999999999987</v>
      </c>
      <c r="U33" s="989">
        <f>R33*(1-S33)</f>
        <v>611.27999999999986</v>
      </c>
      <c r="V33" s="989">
        <f>U33+Q33</f>
        <v>665.61599999999987</v>
      </c>
      <c r="W33" s="989">
        <f>V33*$D$83</f>
        <v>18637.247999999996</v>
      </c>
      <c r="X33" s="991">
        <f>J33+P33+W33</f>
        <v>35276.02399999999</v>
      </c>
      <c r="Y33" s="46"/>
      <c r="Z33" s="46"/>
    </row>
    <row r="34" spans="1:26" ht="12.75" customHeight="1">
      <c r="A34" s="46"/>
      <c r="B34" s="268"/>
      <c r="C34" s="274"/>
      <c r="D34" s="1000"/>
      <c r="E34" s="472"/>
      <c r="F34" s="994"/>
      <c r="G34" s="994"/>
      <c r="H34" s="57"/>
      <c r="I34" s="995"/>
      <c r="J34" s="437"/>
      <c r="K34" s="437"/>
      <c r="L34" s="997"/>
      <c r="M34" s="437"/>
      <c r="N34" s="997"/>
      <c r="O34" s="437"/>
      <c r="P34" s="437"/>
      <c r="Q34" s="437"/>
      <c r="R34" s="437"/>
      <c r="S34" s="997"/>
      <c r="T34" s="437"/>
      <c r="U34" s="437"/>
      <c r="V34" s="437"/>
      <c r="W34" s="437"/>
      <c r="X34" s="1001"/>
      <c r="Y34" s="46"/>
      <c r="Z34" s="46"/>
    </row>
    <row r="35" spans="1:26" ht="12.75" customHeight="1">
      <c r="A35" s="46"/>
      <c r="B35" s="982" t="s">
        <v>938</v>
      </c>
      <c r="C35" s="274" t="s">
        <v>939</v>
      </c>
      <c r="D35" s="992">
        <v>4.3746999999999998</v>
      </c>
      <c r="E35" s="993">
        <f t="shared" ref="E35:E36" si="39">D35*1000000*0.9071847</f>
        <v>3968660.9070899999</v>
      </c>
      <c r="F35" s="994">
        <v>82000</v>
      </c>
      <c r="G35" s="994">
        <f t="shared" ref="G35:G36" si="40">F35*0.9071847</f>
        <v>74389.145399999994</v>
      </c>
      <c r="H35" s="57">
        <v>1994</v>
      </c>
      <c r="I35" s="995">
        <v>2040</v>
      </c>
      <c r="J35" s="996">
        <f>7635</f>
        <v>7635</v>
      </c>
      <c r="K35" s="996">
        <f>2783</f>
        <v>2783</v>
      </c>
      <c r="L35" s="997"/>
      <c r="M35" s="437"/>
      <c r="N35" s="997"/>
      <c r="O35" s="437"/>
      <c r="P35" s="437"/>
      <c r="Q35" s="437"/>
      <c r="R35" s="996">
        <f t="shared" ref="R35:R36" si="41">K35</f>
        <v>2783</v>
      </c>
      <c r="S35" s="998">
        <v>0.1</v>
      </c>
      <c r="T35" s="996">
        <f t="shared" ref="T35:T36" si="42">R35*S35</f>
        <v>278.3</v>
      </c>
      <c r="U35" s="996">
        <f t="shared" ref="U35:U36" si="43">R35*(1-S35)</f>
        <v>2504.7000000000003</v>
      </c>
      <c r="V35" s="996">
        <f t="shared" ref="V35:V36" si="44">U35</f>
        <v>2504.7000000000003</v>
      </c>
      <c r="W35" s="996">
        <f t="shared" ref="W35:W36" si="45">V35*$D$83</f>
        <v>70131.600000000006</v>
      </c>
      <c r="X35" s="999">
        <f t="shared" ref="X35:X36" si="46">J35+W35</f>
        <v>77766.600000000006</v>
      </c>
      <c r="Y35" s="46"/>
      <c r="Z35" s="46"/>
    </row>
    <row r="36" spans="1:26" ht="12.75" customHeight="1">
      <c r="A36" s="46"/>
      <c r="B36" s="268"/>
      <c r="C36" s="274" t="s">
        <v>940</v>
      </c>
      <c r="D36" s="992">
        <v>1.5</v>
      </c>
      <c r="E36" s="993">
        <f t="shared" si="39"/>
        <v>1360777.05</v>
      </c>
      <c r="F36" s="994">
        <v>75000</v>
      </c>
      <c r="G36" s="994">
        <f t="shared" si="40"/>
        <v>68038.852499999994</v>
      </c>
      <c r="H36" s="57">
        <v>1974</v>
      </c>
      <c r="I36" s="995">
        <v>1994</v>
      </c>
      <c r="J36" s="996">
        <v>5538</v>
      </c>
      <c r="K36" s="996">
        <v>2018</v>
      </c>
      <c r="L36" s="997"/>
      <c r="M36" s="437"/>
      <c r="N36" s="997"/>
      <c r="O36" s="437"/>
      <c r="P36" s="437"/>
      <c r="Q36" s="437"/>
      <c r="R36" s="996">
        <f t="shared" si="41"/>
        <v>2018</v>
      </c>
      <c r="S36" s="998">
        <v>0.1</v>
      </c>
      <c r="T36" s="996">
        <f t="shared" si="42"/>
        <v>201.8</v>
      </c>
      <c r="U36" s="996">
        <f t="shared" si="43"/>
        <v>1816.2</v>
      </c>
      <c r="V36" s="996">
        <f t="shared" si="44"/>
        <v>1816.2</v>
      </c>
      <c r="W36" s="996">
        <f t="shared" si="45"/>
        <v>50853.599999999999</v>
      </c>
      <c r="X36" s="999">
        <f t="shared" si="46"/>
        <v>56391.6</v>
      </c>
      <c r="Y36" s="46"/>
      <c r="Z36" s="46"/>
    </row>
    <row r="37" spans="1:26" ht="12.75" customHeight="1">
      <c r="A37" s="46"/>
      <c r="B37" s="268"/>
      <c r="C37" s="274"/>
      <c r="D37" s="1000"/>
      <c r="E37" s="472"/>
      <c r="F37" s="994"/>
      <c r="G37" s="994"/>
      <c r="H37" s="57"/>
      <c r="I37" s="995"/>
      <c r="J37" s="437"/>
      <c r="K37" s="437"/>
      <c r="L37" s="997"/>
      <c r="M37" s="437"/>
      <c r="N37" s="997"/>
      <c r="O37" s="437"/>
      <c r="P37" s="437"/>
      <c r="Q37" s="437"/>
      <c r="R37" s="437"/>
      <c r="S37" s="997"/>
      <c r="T37" s="437"/>
      <c r="U37" s="437"/>
      <c r="V37" s="437"/>
      <c r="W37" s="437"/>
      <c r="X37" s="1001"/>
      <c r="Y37" s="46"/>
      <c r="Z37" s="46"/>
    </row>
    <row r="38" spans="1:26" ht="12.75" customHeight="1">
      <c r="A38" s="46"/>
      <c r="B38" s="982" t="s">
        <v>941</v>
      </c>
      <c r="C38" s="274" t="s">
        <v>942</v>
      </c>
      <c r="D38" s="992">
        <v>0.8</v>
      </c>
      <c r="E38" s="993">
        <f t="shared" ref="E38:E39" si="47">D38*1000000*0.9071847</f>
        <v>725747.76</v>
      </c>
      <c r="F38" s="994">
        <v>35000</v>
      </c>
      <c r="G38" s="994">
        <f>F38*0.9071847</f>
        <v>31751.464499999998</v>
      </c>
      <c r="H38" s="57">
        <v>1973</v>
      </c>
      <c r="I38" s="995">
        <v>1995</v>
      </c>
      <c r="J38" s="996">
        <v>1723</v>
      </c>
      <c r="K38" s="996">
        <v>628</v>
      </c>
      <c r="L38" s="997"/>
      <c r="M38" s="437"/>
      <c r="N38" s="997"/>
      <c r="O38" s="437"/>
      <c r="P38" s="437"/>
      <c r="Q38" s="437"/>
      <c r="R38" s="996">
        <f t="shared" ref="R38:R39" si="48">K38</f>
        <v>628</v>
      </c>
      <c r="S38" s="998">
        <v>0.1</v>
      </c>
      <c r="T38" s="996">
        <f t="shared" ref="T38:T39" si="49">R38*S38</f>
        <v>62.800000000000004</v>
      </c>
      <c r="U38" s="996">
        <f t="shared" ref="U38:U39" si="50">R38*(1-S38)</f>
        <v>565.20000000000005</v>
      </c>
      <c r="V38" s="996">
        <f t="shared" ref="V38:V39" si="51">U38</f>
        <v>565.20000000000005</v>
      </c>
      <c r="W38" s="996">
        <f t="shared" ref="W38:W39" si="52">V38*$D$83</f>
        <v>15825.600000000002</v>
      </c>
      <c r="X38" s="999">
        <f t="shared" ref="X38:X39" si="53">J38+W38</f>
        <v>17548.600000000002</v>
      </c>
      <c r="Y38" s="46"/>
      <c r="Z38" s="46"/>
    </row>
    <row r="39" spans="1:26" ht="12.75" customHeight="1">
      <c r="A39" s="46"/>
      <c r="B39" s="268"/>
      <c r="C39" s="274" t="s">
        <v>943</v>
      </c>
      <c r="D39" s="992">
        <v>4.0999999999999996</v>
      </c>
      <c r="E39" s="993">
        <f t="shared" si="47"/>
        <v>3719457.2699999996</v>
      </c>
      <c r="F39" s="994"/>
      <c r="G39" s="994"/>
      <c r="H39" s="57">
        <v>1996</v>
      </c>
      <c r="I39" s="995">
        <v>2010</v>
      </c>
      <c r="J39" s="996">
        <f>3189</f>
        <v>3189</v>
      </c>
      <c r="K39" s="996">
        <f>1162</f>
        <v>1162</v>
      </c>
      <c r="L39" s="997"/>
      <c r="M39" s="437"/>
      <c r="N39" s="997"/>
      <c r="O39" s="437"/>
      <c r="P39" s="437"/>
      <c r="Q39" s="437"/>
      <c r="R39" s="996">
        <f t="shared" si="48"/>
        <v>1162</v>
      </c>
      <c r="S39" s="998">
        <v>0.1</v>
      </c>
      <c r="T39" s="996">
        <f t="shared" si="49"/>
        <v>116.2</v>
      </c>
      <c r="U39" s="996">
        <f t="shared" si="50"/>
        <v>1045.8</v>
      </c>
      <c r="V39" s="996">
        <f t="shared" si="51"/>
        <v>1045.8</v>
      </c>
      <c r="W39" s="996">
        <f t="shared" si="52"/>
        <v>29282.399999999998</v>
      </c>
      <c r="X39" s="999">
        <f t="shared" si="53"/>
        <v>32471.399999999998</v>
      </c>
      <c r="Y39" s="46"/>
      <c r="Z39" s="46"/>
    </row>
    <row r="40" spans="1:26" ht="12.75" customHeight="1">
      <c r="A40" s="46"/>
      <c r="B40" s="268"/>
      <c r="C40" s="274"/>
      <c r="D40" s="1000"/>
      <c r="E40" s="472"/>
      <c r="F40" s="994"/>
      <c r="G40" s="994"/>
      <c r="H40" s="57"/>
      <c r="I40" s="995"/>
      <c r="J40" s="437"/>
      <c r="K40" s="437"/>
      <c r="L40" s="997"/>
      <c r="M40" s="437"/>
      <c r="N40" s="997"/>
      <c r="O40" s="437"/>
      <c r="P40" s="437"/>
      <c r="Q40" s="437"/>
      <c r="R40" s="437"/>
      <c r="S40" s="274"/>
      <c r="T40" s="437"/>
      <c r="U40" s="437"/>
      <c r="V40" s="437"/>
      <c r="W40" s="437"/>
      <c r="X40" s="1001"/>
      <c r="Y40" s="46"/>
      <c r="Z40" s="46"/>
    </row>
    <row r="41" spans="1:26" ht="12.75" customHeight="1">
      <c r="A41" s="46"/>
      <c r="B41" s="982" t="s">
        <v>944</v>
      </c>
      <c r="C41" s="274" t="s">
        <v>945</v>
      </c>
      <c r="D41" s="992">
        <v>1.0008999999999999</v>
      </c>
      <c r="E41" s="993">
        <f t="shared" ref="E41:E43" si="54">D41*1000000*0.9071847</f>
        <v>908001.16622999986</v>
      </c>
      <c r="F41" s="994"/>
      <c r="G41" s="994">
        <f t="shared" ref="G41:G43" si="55">F41*0.9071847</f>
        <v>0</v>
      </c>
      <c r="H41" s="57">
        <v>1991</v>
      </c>
      <c r="I41" s="995">
        <v>2504</v>
      </c>
      <c r="J41" s="996">
        <f>159.8</f>
        <v>159.80000000000001</v>
      </c>
      <c r="K41" s="996">
        <f>58.24</f>
        <v>58.24</v>
      </c>
      <c r="L41" s="997"/>
      <c r="M41" s="437"/>
      <c r="N41" s="997"/>
      <c r="O41" s="437"/>
      <c r="P41" s="437"/>
      <c r="Q41" s="437"/>
      <c r="R41" s="996">
        <f>K41</f>
        <v>58.24</v>
      </c>
      <c r="S41" s="998">
        <v>0.1</v>
      </c>
      <c r="T41" s="996">
        <f t="shared" ref="T41:T43" si="56">R41*S41</f>
        <v>5.8240000000000007</v>
      </c>
      <c r="U41" s="996">
        <f t="shared" ref="U41:U43" si="57">R41*(1-S41)</f>
        <v>52.416000000000004</v>
      </c>
      <c r="V41" s="996">
        <f>U41</f>
        <v>52.416000000000004</v>
      </c>
      <c r="W41" s="996">
        <f t="shared" ref="W41:W43" si="58">V41*$D$83</f>
        <v>1467.6480000000001</v>
      </c>
      <c r="X41" s="999">
        <f>J41+W41</f>
        <v>1627.4480000000001</v>
      </c>
      <c r="Y41" s="46"/>
      <c r="Z41" s="46"/>
    </row>
    <row r="42" spans="1:26" ht="12.75" customHeight="1">
      <c r="A42" s="46"/>
      <c r="B42" s="268"/>
      <c r="C42" s="983" t="s">
        <v>946</v>
      </c>
      <c r="D42" s="984">
        <v>2.1</v>
      </c>
      <c r="E42" s="985">
        <f t="shared" si="54"/>
        <v>1905087.8699999999</v>
      </c>
      <c r="F42" s="986">
        <v>69200</v>
      </c>
      <c r="G42" s="986">
        <f t="shared" si="55"/>
        <v>62777.181239999998</v>
      </c>
      <c r="H42" s="987">
        <v>1968</v>
      </c>
      <c r="I42" s="988">
        <v>1997</v>
      </c>
      <c r="J42" s="989">
        <f>15000</f>
        <v>15000</v>
      </c>
      <c r="K42" s="989">
        <f>5467</f>
        <v>5467</v>
      </c>
      <c r="L42" s="990">
        <v>0.85</v>
      </c>
      <c r="M42" s="989">
        <f>K42*L42</f>
        <v>4646.95</v>
      </c>
      <c r="N42" s="990">
        <v>0.85</v>
      </c>
      <c r="O42" s="989">
        <f>M42*N42</f>
        <v>3949.9074999999998</v>
      </c>
      <c r="P42" s="989">
        <f>O42*2.75</f>
        <v>10862.245625</v>
      </c>
      <c r="Q42" s="989">
        <f>M42*(1-N42)</f>
        <v>697.04250000000013</v>
      </c>
      <c r="R42" s="989">
        <f>K42*(1-L42)</f>
        <v>820.05000000000007</v>
      </c>
      <c r="S42" s="990">
        <v>0.1</v>
      </c>
      <c r="T42" s="989">
        <f t="shared" si="56"/>
        <v>82.00500000000001</v>
      </c>
      <c r="U42" s="989">
        <f t="shared" si="57"/>
        <v>738.04500000000007</v>
      </c>
      <c r="V42" s="989">
        <f t="shared" ref="V42:V43" si="59">U42+Q42</f>
        <v>1435.0875000000001</v>
      </c>
      <c r="W42" s="989">
        <f t="shared" si="58"/>
        <v>40182.450000000004</v>
      </c>
      <c r="X42" s="991">
        <f t="shared" ref="X42:X43" si="60">J42+P42+W42</f>
        <v>66044.695625000008</v>
      </c>
      <c r="Y42" s="46"/>
      <c r="Z42" s="46"/>
    </row>
    <row r="43" spans="1:26" ht="12.75" customHeight="1">
      <c r="A43" s="46"/>
      <c r="B43" s="268"/>
      <c r="C43" s="1005" t="s">
        <v>947</v>
      </c>
      <c r="D43" s="1006">
        <v>4.2261879999999996</v>
      </c>
      <c r="E43" s="993">
        <f t="shared" si="54"/>
        <v>3833933.0929235998</v>
      </c>
      <c r="F43" s="994">
        <v>100000</v>
      </c>
      <c r="G43" s="994">
        <f t="shared" si="55"/>
        <v>90718.47</v>
      </c>
      <c r="H43" s="57">
        <v>1995</v>
      </c>
      <c r="I43" s="1007">
        <v>2045</v>
      </c>
      <c r="J43" s="1008">
        <f>404.6</f>
        <v>404.6</v>
      </c>
      <c r="K43" s="1008">
        <f>159.7</f>
        <v>159.69999999999999</v>
      </c>
      <c r="L43" s="1009"/>
      <c r="M43" s="1010"/>
      <c r="N43" s="1009"/>
      <c r="O43" s="1010"/>
      <c r="P43" s="1010"/>
      <c r="Q43" s="1010"/>
      <c r="R43" s="1008">
        <f>K43</f>
        <v>159.69999999999999</v>
      </c>
      <c r="S43" s="1011">
        <v>0.1</v>
      </c>
      <c r="T43" s="1008">
        <f t="shared" si="56"/>
        <v>15.969999999999999</v>
      </c>
      <c r="U43" s="1008">
        <f t="shared" si="57"/>
        <v>143.72999999999999</v>
      </c>
      <c r="V43" s="1008">
        <f t="shared" si="59"/>
        <v>143.72999999999999</v>
      </c>
      <c r="W43" s="1008">
        <f t="shared" si="58"/>
        <v>4024.4399999999996</v>
      </c>
      <c r="X43" s="1012">
        <f t="shared" si="60"/>
        <v>4429.04</v>
      </c>
      <c r="Y43" s="46"/>
      <c r="Z43" s="46"/>
    </row>
    <row r="44" spans="1:26" ht="12.75" customHeight="1">
      <c r="A44" s="46"/>
      <c r="B44" s="268"/>
      <c r="C44" s="274"/>
      <c r="D44" s="1000"/>
      <c r="E44" s="472"/>
      <c r="F44" s="994"/>
      <c r="G44" s="994"/>
      <c r="H44" s="57"/>
      <c r="I44" s="995"/>
      <c r="J44" s="437"/>
      <c r="K44" s="437"/>
      <c r="L44" s="997"/>
      <c r="M44" s="437"/>
      <c r="N44" s="997"/>
      <c r="O44" s="437"/>
      <c r="P44" s="437"/>
      <c r="Q44" s="437"/>
      <c r="R44" s="437"/>
      <c r="S44" s="997"/>
      <c r="T44" s="437"/>
      <c r="U44" s="437"/>
      <c r="V44" s="437"/>
      <c r="W44" s="437"/>
      <c r="X44" s="1001"/>
      <c r="Y44" s="46"/>
      <c r="Z44" s="46"/>
    </row>
    <row r="45" spans="1:26" ht="12.75" customHeight="1">
      <c r="A45" s="46"/>
      <c r="B45" s="982" t="s">
        <v>948</v>
      </c>
      <c r="C45" s="274" t="s">
        <v>949</v>
      </c>
      <c r="D45" s="992">
        <v>1.537185</v>
      </c>
      <c r="E45" s="993">
        <f t="shared" ref="E45:E46" si="61">D45*1000000*0.9071847</f>
        <v>1394510.7130694999</v>
      </c>
      <c r="F45" s="994">
        <v>38000</v>
      </c>
      <c r="G45" s="994">
        <f t="shared" ref="G45:G46" si="62">F45*0.9071847</f>
        <v>34473.018599999996</v>
      </c>
      <c r="H45" s="57">
        <v>1994</v>
      </c>
      <c r="I45" s="995">
        <v>2028</v>
      </c>
      <c r="J45" s="996">
        <v>1964</v>
      </c>
      <c r="K45" s="996">
        <v>715.8</v>
      </c>
      <c r="L45" s="997"/>
      <c r="M45" s="437"/>
      <c r="N45" s="997"/>
      <c r="O45" s="437"/>
      <c r="P45" s="437"/>
      <c r="Q45" s="437"/>
      <c r="R45" s="996">
        <f t="shared" ref="R45:R46" si="63">K45</f>
        <v>715.8</v>
      </c>
      <c r="S45" s="998">
        <v>0.1</v>
      </c>
      <c r="T45" s="996">
        <f t="shared" ref="T45:T46" si="64">R45*S45</f>
        <v>71.58</v>
      </c>
      <c r="U45" s="996">
        <f t="shared" ref="U45:U46" si="65">R45*(1-S45)</f>
        <v>644.22</v>
      </c>
      <c r="V45" s="996">
        <f t="shared" ref="V45:V46" si="66">U45</f>
        <v>644.22</v>
      </c>
      <c r="W45" s="996">
        <f t="shared" ref="W45:W46" si="67">V45*$D$83</f>
        <v>18038.16</v>
      </c>
      <c r="X45" s="999">
        <f t="shared" ref="X45:X46" si="68">J45+W45</f>
        <v>20002.16</v>
      </c>
      <c r="Y45" s="46"/>
      <c r="Z45" s="46"/>
    </row>
    <row r="46" spans="1:26" ht="12.75" customHeight="1">
      <c r="A46" s="46"/>
      <c r="B46" s="268"/>
      <c r="C46" s="274" t="s">
        <v>950</v>
      </c>
      <c r="D46" s="992">
        <v>0.8</v>
      </c>
      <c r="E46" s="993">
        <f t="shared" si="61"/>
        <v>725747.76</v>
      </c>
      <c r="F46" s="994">
        <v>20000</v>
      </c>
      <c r="G46" s="994">
        <f t="shared" si="62"/>
        <v>18143.694</v>
      </c>
      <c r="H46" s="57">
        <v>1974</v>
      </c>
      <c r="I46" s="995">
        <v>1994</v>
      </c>
      <c r="J46" s="996">
        <v>2513</v>
      </c>
      <c r="K46" s="996">
        <v>916.1</v>
      </c>
      <c r="L46" s="997"/>
      <c r="M46" s="437"/>
      <c r="N46" s="997"/>
      <c r="O46" s="437"/>
      <c r="P46" s="437"/>
      <c r="Q46" s="437"/>
      <c r="R46" s="996">
        <f t="shared" si="63"/>
        <v>916.1</v>
      </c>
      <c r="S46" s="998">
        <v>0.1</v>
      </c>
      <c r="T46" s="996">
        <f t="shared" si="64"/>
        <v>91.610000000000014</v>
      </c>
      <c r="U46" s="996">
        <f t="shared" si="65"/>
        <v>824.49</v>
      </c>
      <c r="V46" s="996">
        <f t="shared" si="66"/>
        <v>824.49</v>
      </c>
      <c r="W46" s="996">
        <f t="shared" si="67"/>
        <v>23085.72</v>
      </c>
      <c r="X46" s="999">
        <f t="shared" si="68"/>
        <v>25598.720000000001</v>
      </c>
      <c r="Y46" s="46"/>
      <c r="Z46" s="46"/>
    </row>
    <row r="47" spans="1:26" ht="12.75" customHeight="1">
      <c r="A47" s="46"/>
      <c r="B47" s="268"/>
      <c r="C47" s="274"/>
      <c r="D47" s="1000"/>
      <c r="E47" s="472"/>
      <c r="F47" s="994"/>
      <c r="G47" s="994"/>
      <c r="H47" s="57"/>
      <c r="I47" s="995"/>
      <c r="J47" s="437"/>
      <c r="K47" s="437"/>
      <c r="L47" s="997"/>
      <c r="M47" s="437"/>
      <c r="N47" s="997"/>
      <c r="O47" s="437"/>
      <c r="P47" s="437"/>
      <c r="Q47" s="437"/>
      <c r="R47" s="437"/>
      <c r="S47" s="997"/>
      <c r="T47" s="437"/>
      <c r="U47" s="437"/>
      <c r="V47" s="437"/>
      <c r="W47" s="437"/>
      <c r="X47" s="1001"/>
      <c r="Y47" s="46"/>
      <c r="Z47" s="46"/>
    </row>
    <row r="48" spans="1:26" ht="12.75" customHeight="1">
      <c r="A48" s="46"/>
      <c r="B48" s="982" t="s">
        <v>951</v>
      </c>
      <c r="C48" s="274" t="s">
        <v>952</v>
      </c>
      <c r="D48" s="992">
        <v>2.98</v>
      </c>
      <c r="E48" s="993">
        <f>D48*1000000*0.9071847</f>
        <v>2703410.406</v>
      </c>
      <c r="F48" s="994">
        <v>74000</v>
      </c>
      <c r="G48" s="994">
        <f>F48*0.9071847</f>
        <v>67131.667799999996</v>
      </c>
      <c r="H48" s="57">
        <v>1986</v>
      </c>
      <c r="I48" s="995">
        <v>2008</v>
      </c>
      <c r="J48" s="996">
        <f>4760</f>
        <v>4760</v>
      </c>
      <c r="K48" s="996">
        <f>1735</f>
        <v>1735</v>
      </c>
      <c r="L48" s="997"/>
      <c r="M48" s="437"/>
      <c r="N48" s="997"/>
      <c r="O48" s="437"/>
      <c r="P48" s="437"/>
      <c r="Q48" s="437"/>
      <c r="R48" s="996">
        <f>K48</f>
        <v>1735</v>
      </c>
      <c r="S48" s="998">
        <v>0.1</v>
      </c>
      <c r="T48" s="996">
        <f>R48*S48</f>
        <v>173.5</v>
      </c>
      <c r="U48" s="996">
        <f>R48*(1-S48)</f>
        <v>1561.5</v>
      </c>
      <c r="V48" s="996">
        <f>U48</f>
        <v>1561.5</v>
      </c>
      <c r="W48" s="996">
        <f>V48*$D$83</f>
        <v>43722</v>
      </c>
      <c r="X48" s="999">
        <f>J48+W48</f>
        <v>48482</v>
      </c>
      <c r="Y48" s="46"/>
      <c r="Z48" s="46"/>
    </row>
    <row r="49" spans="1:26" ht="12.75" customHeight="1">
      <c r="A49" s="46"/>
      <c r="B49" s="982"/>
      <c r="C49" s="274"/>
      <c r="D49" s="1000"/>
      <c r="E49" s="472"/>
      <c r="F49" s="994"/>
      <c r="G49" s="994"/>
      <c r="H49" s="57"/>
      <c r="I49" s="995"/>
      <c r="J49" s="437"/>
      <c r="K49" s="437"/>
      <c r="L49" s="997"/>
      <c r="M49" s="437"/>
      <c r="N49" s="997"/>
      <c r="O49" s="437"/>
      <c r="P49" s="437"/>
      <c r="Q49" s="437"/>
      <c r="R49" s="437"/>
      <c r="S49" s="997"/>
      <c r="T49" s="437"/>
      <c r="U49" s="437"/>
      <c r="V49" s="437"/>
      <c r="W49" s="437"/>
      <c r="X49" s="1001"/>
      <c r="Y49" s="46"/>
      <c r="Z49" s="46"/>
    </row>
    <row r="50" spans="1:26" ht="12.75" customHeight="1">
      <c r="A50" s="46"/>
      <c r="B50" s="982" t="s">
        <v>953</v>
      </c>
      <c r="C50" s="1013" t="s">
        <v>954</v>
      </c>
      <c r="D50" s="1014"/>
      <c r="E50" s="1015"/>
      <c r="F50" s="1016"/>
      <c r="G50" s="1016"/>
      <c r="H50" s="1017"/>
      <c r="I50" s="1018"/>
      <c r="J50" s="1019">
        <v>19300</v>
      </c>
      <c r="K50" s="1019">
        <v>7033</v>
      </c>
      <c r="L50" s="1020">
        <v>0.93159999999999998</v>
      </c>
      <c r="M50" s="1019">
        <f t="shared" ref="M50:M51" si="69">K50*L50</f>
        <v>6551.9427999999998</v>
      </c>
      <c r="N50" s="1020">
        <v>0.97</v>
      </c>
      <c r="O50" s="1019">
        <f t="shared" ref="O50:O51" si="70">M50*N50</f>
        <v>6355.3845160000001</v>
      </c>
      <c r="P50" s="1019">
        <f t="shared" ref="P50:P51" si="71">O50*2.75</f>
        <v>17477.307419000001</v>
      </c>
      <c r="Q50" s="1019">
        <f t="shared" ref="Q50:Q51" si="72">M50*(1-N50)</f>
        <v>196.55828400000016</v>
      </c>
      <c r="R50" s="1019">
        <f t="shared" ref="R50:R51" si="73">K50*(1-L50)</f>
        <v>481.05720000000014</v>
      </c>
      <c r="S50" s="1020">
        <v>0.1</v>
      </c>
      <c r="T50" s="1019">
        <f t="shared" ref="T50:T51" si="74">R50*S50</f>
        <v>48.105720000000019</v>
      </c>
      <c r="U50" s="1019">
        <f t="shared" ref="U50:U51" si="75">R50*(1-S50)</f>
        <v>432.95148000000012</v>
      </c>
      <c r="V50" s="1019">
        <f t="shared" ref="V50:V51" si="76">U50+Q50</f>
        <v>629.50976400000025</v>
      </c>
      <c r="W50" s="1019">
        <f t="shared" ref="W50:W51" si="77">V50*$D$83</f>
        <v>17626.273392000006</v>
      </c>
      <c r="X50" s="1021">
        <f t="shared" ref="X50:X51" si="78">J50+P50+W50</f>
        <v>54403.580811000007</v>
      </c>
      <c r="Y50" s="46"/>
      <c r="Z50" s="46"/>
    </row>
    <row r="51" spans="1:26" ht="12.75" customHeight="1">
      <c r="A51" s="46"/>
      <c r="B51" s="982"/>
      <c r="C51" s="1013" t="s">
        <v>955</v>
      </c>
      <c r="D51" s="1014"/>
      <c r="E51" s="1015"/>
      <c r="F51" s="1016"/>
      <c r="G51" s="1016"/>
      <c r="H51" s="1017"/>
      <c r="I51" s="1018"/>
      <c r="J51" s="1019">
        <f>12430</f>
        <v>12430</v>
      </c>
      <c r="K51" s="1019">
        <f>4530</f>
        <v>4530</v>
      </c>
      <c r="L51" s="1020">
        <v>0.47299999999999998</v>
      </c>
      <c r="M51" s="1019">
        <f t="shared" si="69"/>
        <v>2142.69</v>
      </c>
      <c r="N51" s="1020">
        <v>0.97</v>
      </c>
      <c r="O51" s="1019">
        <f t="shared" si="70"/>
        <v>2078.4092999999998</v>
      </c>
      <c r="P51" s="1019">
        <f t="shared" si="71"/>
        <v>5715.6255749999991</v>
      </c>
      <c r="Q51" s="1019">
        <f t="shared" si="72"/>
        <v>64.280700000000053</v>
      </c>
      <c r="R51" s="1019">
        <f t="shared" si="73"/>
        <v>2387.31</v>
      </c>
      <c r="S51" s="1020">
        <v>0.1</v>
      </c>
      <c r="T51" s="1019">
        <f t="shared" si="74"/>
        <v>238.73099999999999</v>
      </c>
      <c r="U51" s="1019">
        <f t="shared" si="75"/>
        <v>2148.5790000000002</v>
      </c>
      <c r="V51" s="1019">
        <f t="shared" si="76"/>
        <v>2212.8597000000004</v>
      </c>
      <c r="W51" s="1019">
        <f t="shared" si="77"/>
        <v>61960.07160000001</v>
      </c>
      <c r="X51" s="1021">
        <f t="shared" si="78"/>
        <v>80105.697175000008</v>
      </c>
      <c r="Y51" s="46"/>
      <c r="Z51" s="46"/>
    </row>
    <row r="52" spans="1:26" ht="12.75" customHeight="1">
      <c r="A52" s="46"/>
      <c r="B52" s="268"/>
      <c r="C52" s="274"/>
      <c r="D52" s="1000"/>
      <c r="E52" s="472"/>
      <c r="F52" s="994"/>
      <c r="G52" s="994"/>
      <c r="H52" s="57"/>
      <c r="I52" s="995"/>
      <c r="J52" s="437"/>
      <c r="K52" s="437"/>
      <c r="L52" s="997"/>
      <c r="M52" s="437"/>
      <c r="N52" s="997"/>
      <c r="O52" s="437"/>
      <c r="P52" s="437"/>
      <c r="Q52" s="437"/>
      <c r="R52" s="437"/>
      <c r="S52" s="997"/>
      <c r="T52" s="437"/>
      <c r="U52" s="437"/>
      <c r="V52" s="437"/>
      <c r="W52" s="437"/>
      <c r="X52" s="1001"/>
      <c r="Y52" s="46"/>
      <c r="Z52" s="46"/>
    </row>
    <row r="53" spans="1:26" ht="12.75" customHeight="1">
      <c r="A53" s="46"/>
      <c r="B53" s="982" t="s">
        <v>956</v>
      </c>
      <c r="C53" s="983" t="s">
        <v>957</v>
      </c>
      <c r="D53" s="984">
        <v>9.9779999999999998</v>
      </c>
      <c r="E53" s="985">
        <f>D53*1000000*0.9071847</f>
        <v>9051888.9365999997</v>
      </c>
      <c r="F53" s="986">
        <v>225000</v>
      </c>
      <c r="G53" s="986">
        <f>F53*0.9071847</f>
        <v>204116.5575</v>
      </c>
      <c r="H53" s="987">
        <v>1980</v>
      </c>
      <c r="I53" s="988">
        <v>2122</v>
      </c>
      <c r="J53" s="989">
        <v>11610</v>
      </c>
      <c r="K53" s="989">
        <v>4233</v>
      </c>
      <c r="L53" s="990">
        <v>0.79</v>
      </c>
      <c r="M53" s="989">
        <f>K53*L53</f>
        <v>3344.07</v>
      </c>
      <c r="N53" s="990">
        <v>0.98</v>
      </c>
      <c r="O53" s="989">
        <f>M53*N53</f>
        <v>3277.1886</v>
      </c>
      <c r="P53" s="989">
        <f>O53*2.75</f>
        <v>9012.26865</v>
      </c>
      <c r="Q53" s="989">
        <f>M53*(1-N53)</f>
        <v>66.881400000000056</v>
      </c>
      <c r="R53" s="989">
        <f>K53*(1-L53)</f>
        <v>888.92999999999984</v>
      </c>
      <c r="S53" s="990">
        <v>0.1</v>
      </c>
      <c r="T53" s="989">
        <f>R53*S53</f>
        <v>88.892999999999986</v>
      </c>
      <c r="U53" s="989">
        <f>R53*(1-S53)</f>
        <v>800.03699999999992</v>
      </c>
      <c r="V53" s="989">
        <f>U53+Q53</f>
        <v>866.91840000000002</v>
      </c>
      <c r="W53" s="989">
        <f>V53*$D$83</f>
        <v>24273.715199999999</v>
      </c>
      <c r="X53" s="991">
        <f>J53+P53+W53</f>
        <v>44895.983849999997</v>
      </c>
      <c r="Y53" s="46"/>
      <c r="Z53" s="46"/>
    </row>
    <row r="54" spans="1:26" ht="12.75" customHeight="1">
      <c r="A54" s="46"/>
      <c r="B54" s="982"/>
      <c r="C54" s="274"/>
      <c r="D54" s="1000"/>
      <c r="E54" s="472"/>
      <c r="F54" s="994"/>
      <c r="G54" s="994"/>
      <c r="H54" s="57"/>
      <c r="I54" s="995"/>
      <c r="J54" s="437"/>
      <c r="K54" s="437"/>
      <c r="L54" s="997"/>
      <c r="M54" s="437"/>
      <c r="N54" s="997"/>
      <c r="O54" s="437"/>
      <c r="P54" s="437"/>
      <c r="Q54" s="437"/>
      <c r="R54" s="437"/>
      <c r="S54" s="997"/>
      <c r="T54" s="437"/>
      <c r="U54" s="437"/>
      <c r="V54" s="437"/>
      <c r="W54" s="437"/>
      <c r="X54" s="1001"/>
      <c r="Y54" s="46"/>
      <c r="Z54" s="46"/>
    </row>
    <row r="55" spans="1:26" ht="12.75" customHeight="1">
      <c r="A55" s="46"/>
      <c r="B55" s="982" t="s">
        <v>958</v>
      </c>
      <c r="C55" s="274" t="s">
        <v>959</v>
      </c>
      <c r="D55" s="992">
        <v>0.6</v>
      </c>
      <c r="E55" s="993">
        <f>D55*1000000*0.9071847</f>
        <v>544310.81999999995</v>
      </c>
      <c r="F55" s="994">
        <v>20000</v>
      </c>
      <c r="G55" s="994">
        <f>F55*0.9071847</f>
        <v>18143.694</v>
      </c>
      <c r="H55" s="57">
        <v>1964</v>
      </c>
      <c r="I55" s="995">
        <v>1992</v>
      </c>
      <c r="J55" s="996">
        <v>1575</v>
      </c>
      <c r="K55" s="996">
        <v>574</v>
      </c>
      <c r="L55" s="997"/>
      <c r="M55" s="437"/>
      <c r="N55" s="997"/>
      <c r="O55" s="437"/>
      <c r="P55" s="437"/>
      <c r="Q55" s="437"/>
      <c r="R55" s="996">
        <f>K55</f>
        <v>574</v>
      </c>
      <c r="S55" s="998">
        <v>0.1</v>
      </c>
      <c r="T55" s="996">
        <f>R55*S55</f>
        <v>57.400000000000006</v>
      </c>
      <c r="U55" s="996">
        <f>R55*(1-S55)</f>
        <v>516.6</v>
      </c>
      <c r="V55" s="996">
        <f>U55</f>
        <v>516.6</v>
      </c>
      <c r="W55" s="996">
        <f>V55*$D$83</f>
        <v>14464.800000000001</v>
      </c>
      <c r="X55" s="999">
        <f>J55+W55</f>
        <v>16039.800000000001</v>
      </c>
      <c r="Y55" s="46"/>
      <c r="Z55" s="46"/>
    </row>
    <row r="56" spans="1:26" ht="12.75" customHeight="1">
      <c r="A56" s="46"/>
      <c r="B56" s="268"/>
      <c r="C56" s="274"/>
      <c r="D56" s="1000"/>
      <c r="E56" s="472"/>
      <c r="F56" s="994"/>
      <c r="G56" s="994"/>
      <c r="H56" s="57"/>
      <c r="I56" s="995"/>
      <c r="J56" s="437"/>
      <c r="K56" s="437"/>
      <c r="L56" s="997"/>
      <c r="M56" s="437"/>
      <c r="N56" s="997"/>
      <c r="O56" s="437"/>
      <c r="P56" s="437"/>
      <c r="Q56" s="437"/>
      <c r="R56" s="437"/>
      <c r="S56" s="997"/>
      <c r="T56" s="437"/>
      <c r="U56" s="437"/>
      <c r="V56" s="437"/>
      <c r="W56" s="437"/>
      <c r="X56" s="1001"/>
      <c r="Y56" s="46"/>
      <c r="Z56" s="46"/>
    </row>
    <row r="57" spans="1:26" ht="12.75" customHeight="1">
      <c r="A57" s="46"/>
      <c r="B57" s="982" t="s">
        <v>960</v>
      </c>
      <c r="C57" s="1013" t="s">
        <v>961</v>
      </c>
      <c r="D57" s="1022">
        <v>7.1</v>
      </c>
      <c r="E57" s="1023">
        <f t="shared" ref="E57:E60" si="79">D57*1000000*0.9071847</f>
        <v>6441011.3700000001</v>
      </c>
      <c r="F57" s="1016">
        <v>284000</v>
      </c>
      <c r="G57" s="1016">
        <f t="shared" ref="G57:G60" si="80">F57*0.9071847</f>
        <v>257640.45479999998</v>
      </c>
      <c r="H57" s="1017">
        <v>1968</v>
      </c>
      <c r="I57" s="1018">
        <v>1993</v>
      </c>
      <c r="J57" s="1019">
        <v>20280</v>
      </c>
      <c r="K57" s="1019">
        <v>7393</v>
      </c>
      <c r="L57" s="1020">
        <v>0.627</v>
      </c>
      <c r="M57" s="1019">
        <f t="shared" ref="M57:M59" si="81">K57*L57</f>
        <v>4635.4110000000001</v>
      </c>
      <c r="N57" s="1020">
        <v>0.997</v>
      </c>
      <c r="O57" s="1019">
        <f t="shared" ref="O57:O59" si="82">M57*N57</f>
        <v>4621.5047670000004</v>
      </c>
      <c r="P57" s="1019">
        <f t="shared" ref="P57:P59" si="83">O57*2.75</f>
        <v>12709.138109250001</v>
      </c>
      <c r="Q57" s="1019">
        <f t="shared" ref="Q57:Q59" si="84">M57*(1-N57)</f>
        <v>13.906233000000013</v>
      </c>
      <c r="R57" s="1019">
        <f t="shared" ref="R57:R59" si="85">K57*(1-L57)</f>
        <v>2757.5889999999999</v>
      </c>
      <c r="S57" s="1020">
        <v>0.1</v>
      </c>
      <c r="T57" s="1019">
        <f t="shared" ref="T57:T60" si="86">R57*S57</f>
        <v>275.75889999999998</v>
      </c>
      <c r="U57" s="1019">
        <f t="shared" ref="U57:U60" si="87">R57*(1-S57)</f>
        <v>2481.8301000000001</v>
      </c>
      <c r="V57" s="1019">
        <f t="shared" ref="V57:V59" si="88">U57+Q57</f>
        <v>2495.7363330000003</v>
      </c>
      <c r="W57" s="1019">
        <f t="shared" ref="W57:W60" si="89">V57*$D$83</f>
        <v>69880.617324000006</v>
      </c>
      <c r="X57" s="1021">
        <f t="shared" ref="X57:X59" si="90">J57+P57+W57</f>
        <v>102869.75543325001</v>
      </c>
      <c r="Y57" s="46"/>
      <c r="Z57" s="46"/>
    </row>
    <row r="58" spans="1:26" ht="12.75" customHeight="1">
      <c r="A58" s="46"/>
      <c r="B58" s="268"/>
      <c r="C58" s="1013" t="s">
        <v>962</v>
      </c>
      <c r="D58" s="1022">
        <v>16</v>
      </c>
      <c r="E58" s="1023">
        <f t="shared" si="79"/>
        <v>14514955.199999999</v>
      </c>
      <c r="F58" s="1016">
        <v>280000</v>
      </c>
      <c r="G58" s="1016">
        <f t="shared" si="80"/>
        <v>254011.71599999999</v>
      </c>
      <c r="H58" s="1018">
        <v>1992</v>
      </c>
      <c r="I58" s="1018">
        <v>2016</v>
      </c>
      <c r="J58" s="1019">
        <v>27110</v>
      </c>
      <c r="K58" s="1019">
        <v>9881</v>
      </c>
      <c r="L58" s="1020">
        <v>0.627</v>
      </c>
      <c r="M58" s="1019">
        <f t="shared" si="81"/>
        <v>6195.3869999999997</v>
      </c>
      <c r="N58" s="1020">
        <v>0.997</v>
      </c>
      <c r="O58" s="1019">
        <f t="shared" si="82"/>
        <v>6176.8008389999995</v>
      </c>
      <c r="P58" s="1019">
        <f t="shared" si="83"/>
        <v>16986.202307249998</v>
      </c>
      <c r="Q58" s="1019">
        <f t="shared" si="84"/>
        <v>18.586161000000015</v>
      </c>
      <c r="R58" s="1019">
        <f t="shared" si="85"/>
        <v>3685.6129999999998</v>
      </c>
      <c r="S58" s="1020">
        <v>0.1</v>
      </c>
      <c r="T58" s="1019">
        <f t="shared" si="86"/>
        <v>368.56130000000002</v>
      </c>
      <c r="U58" s="1019">
        <f t="shared" si="87"/>
        <v>3317.0517</v>
      </c>
      <c r="V58" s="1019">
        <f t="shared" si="88"/>
        <v>3335.6378610000002</v>
      </c>
      <c r="W58" s="1019">
        <f t="shared" si="89"/>
        <v>93397.860108000008</v>
      </c>
      <c r="X58" s="1021">
        <f t="shared" si="90"/>
        <v>137494.06241524999</v>
      </c>
      <c r="Y58" s="46"/>
      <c r="Z58" s="46"/>
    </row>
    <row r="59" spans="1:26" ht="12.75" customHeight="1">
      <c r="A59" s="46"/>
      <c r="B59" s="268"/>
      <c r="C59" s="983" t="s">
        <v>963</v>
      </c>
      <c r="D59" s="984">
        <v>7.5</v>
      </c>
      <c r="E59" s="985">
        <f t="shared" si="79"/>
        <v>6803885.25</v>
      </c>
      <c r="F59" s="986">
        <v>280000</v>
      </c>
      <c r="G59" s="986">
        <f t="shared" si="80"/>
        <v>254011.71599999999</v>
      </c>
      <c r="H59" s="987">
        <v>1978</v>
      </c>
      <c r="I59" s="988">
        <v>2000</v>
      </c>
      <c r="J59" s="989">
        <v>25620</v>
      </c>
      <c r="K59" s="989">
        <v>9336</v>
      </c>
      <c r="L59" s="990">
        <v>0.94299999999999995</v>
      </c>
      <c r="M59" s="989">
        <f t="shared" si="81"/>
        <v>8803.848</v>
      </c>
      <c r="N59" s="990">
        <v>0.98</v>
      </c>
      <c r="O59" s="989">
        <f t="shared" si="82"/>
        <v>8627.7710399999996</v>
      </c>
      <c r="P59" s="989">
        <f t="shared" si="83"/>
        <v>23726.370360000001</v>
      </c>
      <c r="Q59" s="989">
        <f t="shared" si="84"/>
        <v>176.07696000000016</v>
      </c>
      <c r="R59" s="989">
        <f t="shared" si="85"/>
        <v>532.1520000000005</v>
      </c>
      <c r="S59" s="990">
        <v>0.1</v>
      </c>
      <c r="T59" s="989">
        <f t="shared" si="86"/>
        <v>53.215200000000053</v>
      </c>
      <c r="U59" s="989">
        <f t="shared" si="87"/>
        <v>478.93680000000046</v>
      </c>
      <c r="V59" s="989">
        <f t="shared" si="88"/>
        <v>655.01376000000062</v>
      </c>
      <c r="W59" s="989">
        <f t="shared" si="89"/>
        <v>18340.385280000017</v>
      </c>
      <c r="X59" s="991">
        <f t="shared" si="90"/>
        <v>67686.755640000018</v>
      </c>
      <c r="Y59" s="46"/>
      <c r="Z59" s="46"/>
    </row>
    <row r="60" spans="1:26" ht="12.75" customHeight="1">
      <c r="A60" s="46"/>
      <c r="B60" s="268"/>
      <c r="C60" s="274" t="s">
        <v>964</v>
      </c>
      <c r="D60" s="992">
        <v>1.6</v>
      </c>
      <c r="E60" s="993">
        <f t="shared" si="79"/>
        <v>1451495.52</v>
      </c>
      <c r="F60" s="994">
        <v>34000</v>
      </c>
      <c r="G60" s="994">
        <f t="shared" si="80"/>
        <v>30844.2798</v>
      </c>
      <c r="H60" s="57">
        <v>1960</v>
      </c>
      <c r="I60" s="995">
        <v>2004</v>
      </c>
      <c r="J60" s="996">
        <v>5191</v>
      </c>
      <c r="K60" s="996">
        <v>1892</v>
      </c>
      <c r="L60" s="997"/>
      <c r="M60" s="437"/>
      <c r="N60" s="997"/>
      <c r="O60" s="437"/>
      <c r="P60" s="437"/>
      <c r="Q60" s="437"/>
      <c r="R60" s="996">
        <f>K60</f>
        <v>1892</v>
      </c>
      <c r="S60" s="998">
        <v>0.1</v>
      </c>
      <c r="T60" s="996">
        <f t="shared" si="86"/>
        <v>189.20000000000002</v>
      </c>
      <c r="U60" s="996">
        <f t="shared" si="87"/>
        <v>1702.8</v>
      </c>
      <c r="V60" s="996">
        <f>U60</f>
        <v>1702.8</v>
      </c>
      <c r="W60" s="996">
        <f t="shared" si="89"/>
        <v>47678.400000000001</v>
      </c>
      <c r="X60" s="999">
        <f>J60+W60</f>
        <v>52869.4</v>
      </c>
      <c r="Y60" s="46"/>
      <c r="Z60" s="46"/>
    </row>
    <row r="61" spans="1:26" ht="12.75" customHeight="1">
      <c r="A61" s="46"/>
      <c r="B61" s="268"/>
      <c r="C61" s="274"/>
      <c r="D61" s="1000"/>
      <c r="E61" s="472"/>
      <c r="F61" s="994"/>
      <c r="G61" s="994"/>
      <c r="H61" s="57"/>
      <c r="I61" s="995"/>
      <c r="J61" s="437"/>
      <c r="K61" s="437"/>
      <c r="L61" s="997"/>
      <c r="M61" s="437"/>
      <c r="N61" s="997"/>
      <c r="O61" s="437"/>
      <c r="P61" s="437"/>
      <c r="Q61" s="437"/>
      <c r="R61" s="437"/>
      <c r="S61" s="997"/>
      <c r="T61" s="437"/>
      <c r="U61" s="437"/>
      <c r="V61" s="437"/>
      <c r="W61" s="437"/>
      <c r="X61" s="1001"/>
      <c r="Y61" s="46"/>
      <c r="Z61" s="46"/>
    </row>
    <row r="62" spans="1:26" ht="12.75" customHeight="1">
      <c r="A62" s="46"/>
      <c r="B62" s="982" t="s">
        <v>965</v>
      </c>
      <c r="C62" s="274" t="s">
        <v>966</v>
      </c>
      <c r="D62" s="992">
        <v>1.61</v>
      </c>
      <c r="E62" s="993">
        <v>393341</v>
      </c>
      <c r="F62" s="994"/>
      <c r="G62" s="994">
        <f t="shared" ref="G62:G63" si="91">F62*0.9071847</f>
        <v>0</v>
      </c>
      <c r="H62" s="995">
        <v>1998</v>
      </c>
      <c r="I62" s="995">
        <v>2023</v>
      </c>
      <c r="J62" s="996">
        <v>1136</v>
      </c>
      <c r="K62" s="996">
        <v>413.9</v>
      </c>
      <c r="L62" s="997"/>
      <c r="M62" s="437"/>
      <c r="N62" s="997"/>
      <c r="O62" s="437"/>
      <c r="P62" s="437"/>
      <c r="Q62" s="437"/>
      <c r="R62" s="996">
        <f t="shared" ref="R62:R63" si="92">K62</f>
        <v>413.9</v>
      </c>
      <c r="S62" s="998">
        <v>0.1</v>
      </c>
      <c r="T62" s="996">
        <f t="shared" ref="T62:T63" si="93">R62*S62</f>
        <v>41.39</v>
      </c>
      <c r="U62" s="996">
        <f t="shared" ref="U62:U63" si="94">R62*(1-S62)</f>
        <v>372.51</v>
      </c>
      <c r="V62" s="996">
        <f t="shared" ref="V62:V63" si="95">U62</f>
        <v>372.51</v>
      </c>
      <c r="W62" s="996">
        <f t="shared" ref="W62:W63" si="96">V62*$D$83</f>
        <v>10430.279999999999</v>
      </c>
      <c r="X62" s="999">
        <f t="shared" ref="X62:X63" si="97">J62+W62</f>
        <v>11566.279999999999</v>
      </c>
      <c r="Y62" s="46"/>
      <c r="Z62" s="46"/>
    </row>
    <row r="63" spans="1:26" ht="12.75" customHeight="1">
      <c r="A63" s="46"/>
      <c r="B63" s="268"/>
      <c r="C63" s="274" t="s">
        <v>967</v>
      </c>
      <c r="D63" s="1000"/>
      <c r="E63" s="993">
        <v>368200</v>
      </c>
      <c r="F63" s="994"/>
      <c r="G63" s="994">
        <f t="shared" si="91"/>
        <v>0</v>
      </c>
      <c r="H63" s="57">
        <v>1977</v>
      </c>
      <c r="I63" s="995">
        <v>1998</v>
      </c>
      <c r="J63" s="996">
        <v>1650</v>
      </c>
      <c r="K63" s="996">
        <v>601.20000000000005</v>
      </c>
      <c r="L63" s="997"/>
      <c r="M63" s="437"/>
      <c r="N63" s="997"/>
      <c r="O63" s="437"/>
      <c r="P63" s="437"/>
      <c r="Q63" s="437"/>
      <c r="R63" s="996">
        <f t="shared" si="92"/>
        <v>601.20000000000005</v>
      </c>
      <c r="S63" s="998">
        <v>0.1</v>
      </c>
      <c r="T63" s="996">
        <f t="shared" si="93"/>
        <v>60.120000000000005</v>
      </c>
      <c r="U63" s="996">
        <f t="shared" si="94"/>
        <v>541.08000000000004</v>
      </c>
      <c r="V63" s="996">
        <f t="shared" si="95"/>
        <v>541.08000000000004</v>
      </c>
      <c r="W63" s="996">
        <f t="shared" si="96"/>
        <v>15150.240000000002</v>
      </c>
      <c r="X63" s="999">
        <f t="shared" si="97"/>
        <v>16800.240000000002</v>
      </c>
      <c r="Y63" s="46"/>
      <c r="Z63" s="46"/>
    </row>
    <row r="64" spans="1:26" ht="12.75" customHeight="1">
      <c r="A64" s="46"/>
      <c r="B64" s="268"/>
      <c r="C64" s="274"/>
      <c r="D64" s="1000"/>
      <c r="E64" s="993"/>
      <c r="F64" s="994"/>
      <c r="G64" s="994"/>
      <c r="H64" s="57"/>
      <c r="I64" s="995"/>
      <c r="J64" s="437"/>
      <c r="K64" s="437"/>
      <c r="L64" s="997"/>
      <c r="M64" s="437"/>
      <c r="N64" s="997"/>
      <c r="O64" s="437"/>
      <c r="P64" s="437"/>
      <c r="Q64" s="437"/>
      <c r="R64" s="437"/>
      <c r="S64" s="997"/>
      <c r="T64" s="437"/>
      <c r="U64" s="437"/>
      <c r="V64" s="437"/>
      <c r="W64" s="437"/>
      <c r="X64" s="1001"/>
      <c r="Y64" s="46"/>
      <c r="Z64" s="46"/>
    </row>
    <row r="65" spans="1:26" ht="12.75" customHeight="1">
      <c r="A65" s="46"/>
      <c r="B65" s="982" t="s">
        <v>968</v>
      </c>
      <c r="C65" s="274" t="s">
        <v>969</v>
      </c>
      <c r="D65" s="992">
        <v>3.7512439999999998</v>
      </c>
      <c r="E65" s="993">
        <f>D65*1000000*0.9071847</f>
        <v>3403071.1627667998</v>
      </c>
      <c r="F65" s="994">
        <v>81800</v>
      </c>
      <c r="G65" s="994">
        <f>F65*0.9071847</f>
        <v>74207.708459999994</v>
      </c>
      <c r="H65" s="57">
        <v>1991</v>
      </c>
      <c r="I65" s="995">
        <v>2010</v>
      </c>
      <c r="J65" s="996">
        <v>8456</v>
      </c>
      <c r="K65" s="996">
        <v>3082</v>
      </c>
      <c r="L65" s="997"/>
      <c r="M65" s="437"/>
      <c r="N65" s="997"/>
      <c r="O65" s="437"/>
      <c r="P65" s="437"/>
      <c r="Q65" s="437"/>
      <c r="R65" s="996">
        <f>K65</f>
        <v>3082</v>
      </c>
      <c r="S65" s="998">
        <v>0.1</v>
      </c>
      <c r="T65" s="996">
        <f>R65*S65</f>
        <v>308.20000000000005</v>
      </c>
      <c r="U65" s="996">
        <f>R65*(1-S65)</f>
        <v>2773.8</v>
      </c>
      <c r="V65" s="996">
        <f>U65</f>
        <v>2773.8</v>
      </c>
      <c r="W65" s="996">
        <f>V65*$D$83</f>
        <v>77666.400000000009</v>
      </c>
      <c r="X65" s="999">
        <f>J65+W65</f>
        <v>86122.400000000009</v>
      </c>
      <c r="Y65" s="46"/>
      <c r="Z65" s="46"/>
    </row>
    <row r="66" spans="1:26" ht="12.75" customHeight="1">
      <c r="A66" s="46"/>
      <c r="B66" s="268"/>
      <c r="C66" s="274"/>
      <c r="D66" s="1000"/>
      <c r="E66" s="472"/>
      <c r="F66" s="994"/>
      <c r="G66" s="994"/>
      <c r="H66" s="57"/>
      <c r="I66" s="995"/>
      <c r="J66" s="437"/>
      <c r="K66" s="437"/>
      <c r="L66" s="997"/>
      <c r="M66" s="437"/>
      <c r="N66" s="997"/>
      <c r="O66" s="437"/>
      <c r="P66" s="437"/>
      <c r="Q66" s="437"/>
      <c r="R66" s="437"/>
      <c r="S66" s="274"/>
      <c r="T66" s="437"/>
      <c r="U66" s="437"/>
      <c r="V66" s="437"/>
      <c r="W66" s="437"/>
      <c r="X66" s="1001"/>
      <c r="Y66" s="46"/>
      <c r="Z66" s="46"/>
    </row>
    <row r="67" spans="1:26" ht="12.75" customHeight="1">
      <c r="A67" s="46"/>
      <c r="B67" s="982" t="s">
        <v>970</v>
      </c>
      <c r="C67" s="274" t="s">
        <v>971</v>
      </c>
      <c r="D67" s="1000"/>
      <c r="E67" s="993">
        <v>89729.73</v>
      </c>
      <c r="F67" s="994"/>
      <c r="G67" s="994">
        <f t="shared" ref="G67:G69" si="98">F67*0.9071847</f>
        <v>0</v>
      </c>
      <c r="H67" s="57">
        <v>1981</v>
      </c>
      <c r="I67" s="995">
        <v>1993</v>
      </c>
      <c r="J67" s="996">
        <v>378.5</v>
      </c>
      <c r="K67" s="996">
        <v>138</v>
      </c>
      <c r="L67" s="997"/>
      <c r="M67" s="437"/>
      <c r="N67" s="997"/>
      <c r="O67" s="437"/>
      <c r="P67" s="437"/>
      <c r="Q67" s="437"/>
      <c r="R67" s="996">
        <f t="shared" ref="R67:R69" si="99">K67</f>
        <v>138</v>
      </c>
      <c r="S67" s="998">
        <v>0.1</v>
      </c>
      <c r="T67" s="996">
        <f t="shared" ref="T67:T69" si="100">R67*S67</f>
        <v>13.8</v>
      </c>
      <c r="U67" s="996">
        <f t="shared" ref="U67:U69" si="101">R67*(1-S67)</f>
        <v>124.2</v>
      </c>
      <c r="V67" s="996">
        <f t="shared" ref="V67:V69" si="102">U67</f>
        <v>124.2</v>
      </c>
      <c r="W67" s="996">
        <f t="shared" ref="W67:W69" si="103">V67*$D$83</f>
        <v>3477.6</v>
      </c>
      <c r="X67" s="999">
        <f t="shared" ref="X67:X69" si="104">J67+W67</f>
        <v>3856.1</v>
      </c>
      <c r="Y67" s="46"/>
      <c r="Z67" s="46"/>
    </row>
    <row r="68" spans="1:26" ht="11.25" customHeight="1">
      <c r="A68" s="46"/>
      <c r="B68" s="268"/>
      <c r="C68" s="274" t="s">
        <v>972</v>
      </c>
      <c r="D68" s="992">
        <v>2.5499999999999998</v>
      </c>
      <c r="E68" s="993">
        <f t="shared" ref="E68:E69" si="105">D68*1000000*0.9071847</f>
        <v>2313320.9849999999</v>
      </c>
      <c r="F68" s="994">
        <v>150000</v>
      </c>
      <c r="G68" s="994">
        <f t="shared" si="98"/>
        <v>136077.70499999999</v>
      </c>
      <c r="H68" s="57">
        <v>1982</v>
      </c>
      <c r="I68" s="995">
        <v>2000</v>
      </c>
      <c r="J68" s="996">
        <v>18980</v>
      </c>
      <c r="K68" s="996">
        <v>6916</v>
      </c>
      <c r="L68" s="997"/>
      <c r="M68" s="437"/>
      <c r="N68" s="997"/>
      <c r="O68" s="437"/>
      <c r="P68" s="437"/>
      <c r="Q68" s="437"/>
      <c r="R68" s="996">
        <f t="shared" si="99"/>
        <v>6916</v>
      </c>
      <c r="S68" s="998">
        <v>0.1</v>
      </c>
      <c r="T68" s="996">
        <f t="shared" si="100"/>
        <v>691.6</v>
      </c>
      <c r="U68" s="996">
        <f t="shared" si="101"/>
        <v>6224.4000000000005</v>
      </c>
      <c r="V68" s="996">
        <f t="shared" si="102"/>
        <v>6224.4000000000005</v>
      </c>
      <c r="W68" s="996">
        <f t="shared" si="103"/>
        <v>174283.2</v>
      </c>
      <c r="X68" s="999">
        <f t="shared" si="104"/>
        <v>193263.2</v>
      </c>
      <c r="Y68" s="46"/>
      <c r="Z68" s="46"/>
    </row>
    <row r="69" spans="1:26" ht="12.75" customHeight="1">
      <c r="A69" s="46"/>
      <c r="B69" s="268"/>
      <c r="C69" s="274" t="s">
        <v>973</v>
      </c>
      <c r="D69" s="992">
        <v>20.273</v>
      </c>
      <c r="E69" s="993">
        <f t="shared" si="105"/>
        <v>18391355.423099998</v>
      </c>
      <c r="F69" s="994"/>
      <c r="G69" s="994">
        <f t="shared" si="98"/>
        <v>0</v>
      </c>
      <c r="H69" s="57">
        <v>2000</v>
      </c>
      <c r="I69" s="995">
        <v>2047</v>
      </c>
      <c r="J69" s="996">
        <f>6634</f>
        <v>6634</v>
      </c>
      <c r="K69" s="996">
        <f>2418</f>
        <v>2418</v>
      </c>
      <c r="L69" s="997"/>
      <c r="M69" s="437"/>
      <c r="N69" s="997"/>
      <c r="O69" s="437"/>
      <c r="P69" s="437"/>
      <c r="Q69" s="437"/>
      <c r="R69" s="996">
        <f t="shared" si="99"/>
        <v>2418</v>
      </c>
      <c r="S69" s="998">
        <v>0.1</v>
      </c>
      <c r="T69" s="996">
        <f t="shared" si="100"/>
        <v>241.8</v>
      </c>
      <c r="U69" s="996">
        <f t="shared" si="101"/>
        <v>2176.2000000000003</v>
      </c>
      <c r="V69" s="996">
        <f t="shared" si="102"/>
        <v>2176.2000000000003</v>
      </c>
      <c r="W69" s="996">
        <f t="shared" si="103"/>
        <v>60933.600000000006</v>
      </c>
      <c r="X69" s="999">
        <f t="shared" si="104"/>
        <v>67567.600000000006</v>
      </c>
      <c r="Y69" s="46"/>
      <c r="Z69" s="46"/>
    </row>
    <row r="70" spans="1:26" ht="11.25" customHeight="1">
      <c r="A70" s="46"/>
      <c r="B70" s="268"/>
      <c r="C70" s="274"/>
      <c r="D70" s="1000"/>
      <c r="E70" s="472"/>
      <c r="F70" s="994"/>
      <c r="G70" s="994"/>
      <c r="H70" s="57"/>
      <c r="I70" s="995"/>
      <c r="J70" s="437"/>
      <c r="K70" s="437"/>
      <c r="L70" s="997"/>
      <c r="M70" s="437"/>
      <c r="N70" s="997"/>
      <c r="O70" s="437"/>
      <c r="P70" s="437"/>
      <c r="Q70" s="437"/>
      <c r="R70" s="437"/>
      <c r="S70" s="997"/>
      <c r="T70" s="437"/>
      <c r="U70" s="437"/>
      <c r="V70" s="437"/>
      <c r="W70" s="437"/>
      <c r="X70" s="1001"/>
      <c r="Y70" s="46"/>
      <c r="Z70" s="46"/>
    </row>
    <row r="71" spans="1:26" ht="11.25" customHeight="1">
      <c r="A71" s="46"/>
      <c r="B71" s="982" t="s">
        <v>974</v>
      </c>
      <c r="C71" s="983" t="s">
        <v>975</v>
      </c>
      <c r="D71" s="984">
        <v>7.2</v>
      </c>
      <c r="E71" s="985">
        <f>D71*1000000*0.9071847</f>
        <v>6531729.8399999999</v>
      </c>
      <c r="F71" s="986">
        <v>82000</v>
      </c>
      <c r="G71" s="986">
        <f>F71*0.9071847</f>
        <v>74389.145399999994</v>
      </c>
      <c r="H71" s="987">
        <v>1955</v>
      </c>
      <c r="I71" s="988">
        <v>2031</v>
      </c>
      <c r="J71" s="989">
        <f>9116</f>
        <v>9116</v>
      </c>
      <c r="K71" s="989">
        <v>3322</v>
      </c>
      <c r="L71" s="990">
        <v>0.378</v>
      </c>
      <c r="M71" s="989">
        <f>K71*L71</f>
        <v>1255.7160000000001</v>
      </c>
      <c r="N71" s="990">
        <v>0.98</v>
      </c>
      <c r="O71" s="989">
        <f>M71*N71</f>
        <v>1230.60168</v>
      </c>
      <c r="P71" s="989">
        <f>O71*2.75</f>
        <v>3384.1546199999998</v>
      </c>
      <c r="Q71" s="989">
        <f>M71*(1-N71)</f>
        <v>25.114320000000024</v>
      </c>
      <c r="R71" s="989">
        <f>K71</f>
        <v>3322</v>
      </c>
      <c r="S71" s="990">
        <v>0.1</v>
      </c>
      <c r="T71" s="989">
        <f>R71*S71</f>
        <v>332.20000000000005</v>
      </c>
      <c r="U71" s="989">
        <f>R71*(1-S71)</f>
        <v>2989.8</v>
      </c>
      <c r="V71" s="989">
        <f>U71</f>
        <v>2989.8</v>
      </c>
      <c r="W71" s="989">
        <f>V71*$D$83</f>
        <v>83714.400000000009</v>
      </c>
      <c r="X71" s="991">
        <f>J71+W71</f>
        <v>92830.400000000009</v>
      </c>
      <c r="Y71" s="46"/>
      <c r="Z71" s="46"/>
    </row>
    <row r="72" spans="1:26" ht="13.5" customHeight="1">
      <c r="A72" s="46"/>
      <c r="B72" s="268"/>
      <c r="C72" s="274"/>
      <c r="D72" s="274"/>
      <c r="E72" s="472"/>
      <c r="F72" s="57"/>
      <c r="G72" s="57"/>
      <c r="H72" s="57"/>
      <c r="I72" s="57"/>
      <c r="J72" s="437"/>
      <c r="K72" s="437"/>
      <c r="L72" s="997"/>
      <c r="M72" s="437"/>
      <c r="N72" s="997"/>
      <c r="O72" s="437"/>
      <c r="P72" s="437"/>
      <c r="Q72" s="437"/>
      <c r="R72" s="437"/>
      <c r="S72" s="274"/>
      <c r="T72" s="437"/>
      <c r="U72" s="437"/>
      <c r="V72" s="437"/>
      <c r="W72" s="437"/>
      <c r="X72" s="1001"/>
      <c r="Y72" s="46"/>
      <c r="Z72" s="46"/>
    </row>
    <row r="73" spans="1:26" ht="12.75" customHeight="1">
      <c r="A73" s="46"/>
      <c r="B73" s="982" t="s">
        <v>976</v>
      </c>
      <c r="C73" s="1005" t="s">
        <v>977</v>
      </c>
      <c r="D73" s="1006">
        <v>4.8</v>
      </c>
      <c r="E73" s="993">
        <f>D73*1000000*0.9071847</f>
        <v>4354486.5599999996</v>
      </c>
      <c r="F73" s="994">
        <v>70000</v>
      </c>
      <c r="G73" s="994">
        <f>F73*0.9071847</f>
        <v>63502.928999999996</v>
      </c>
      <c r="H73" s="57">
        <v>1990</v>
      </c>
      <c r="I73" s="1007">
        <v>2028</v>
      </c>
      <c r="J73" s="1008">
        <f>2368</f>
        <v>2368</v>
      </c>
      <c r="K73" s="1008">
        <f>862.9</f>
        <v>862.9</v>
      </c>
      <c r="L73" s="1009"/>
      <c r="M73" s="1010"/>
      <c r="N73" s="1009"/>
      <c r="O73" s="1010"/>
      <c r="P73" s="1010"/>
      <c r="Q73" s="1010"/>
      <c r="R73" s="1008">
        <f t="shared" ref="R73:R74" si="106">K73*(1-L73)</f>
        <v>862.9</v>
      </c>
      <c r="S73" s="1011">
        <v>0.1</v>
      </c>
      <c r="T73" s="1008">
        <f t="shared" ref="T73:T74" si="107">R73*S73</f>
        <v>86.29</v>
      </c>
      <c r="U73" s="1008">
        <f t="shared" ref="U73:U74" si="108">R73*(1-S73)</f>
        <v>776.61</v>
      </c>
      <c r="V73" s="1008">
        <f t="shared" ref="V73:V74" si="109">U73+Q73</f>
        <v>776.61</v>
      </c>
      <c r="W73" s="1008">
        <f t="shared" ref="W73:W74" si="110">V73*$D$83</f>
        <v>21745.08</v>
      </c>
      <c r="X73" s="1012">
        <f t="shared" ref="X73:X74" si="111">J73+P73+W73</f>
        <v>24113.08</v>
      </c>
      <c r="Y73" s="46"/>
      <c r="Z73" s="46"/>
    </row>
    <row r="74" spans="1:26" ht="11.25" customHeight="1">
      <c r="A74" s="46"/>
      <c r="B74" s="268"/>
      <c r="C74" s="983" t="s">
        <v>978</v>
      </c>
      <c r="D74" s="983"/>
      <c r="E74" s="1004"/>
      <c r="F74" s="987"/>
      <c r="G74" s="987"/>
      <c r="H74" s="987"/>
      <c r="I74" s="987"/>
      <c r="J74" s="989">
        <v>26360</v>
      </c>
      <c r="K74" s="989">
        <v>9608</v>
      </c>
      <c r="L74" s="990">
        <v>0.89</v>
      </c>
      <c r="M74" s="989">
        <f>K74*L74</f>
        <v>8551.1200000000008</v>
      </c>
      <c r="N74" s="990">
        <v>0.98</v>
      </c>
      <c r="O74" s="989">
        <f>M74*N74</f>
        <v>8380.097600000001</v>
      </c>
      <c r="P74" s="989">
        <f>O74*2.75</f>
        <v>23045.268400000001</v>
      </c>
      <c r="Q74" s="989">
        <f>M74*(1-N74)</f>
        <v>171.02240000000018</v>
      </c>
      <c r="R74" s="989">
        <f t="shared" si="106"/>
        <v>1056.8799999999999</v>
      </c>
      <c r="S74" s="990">
        <v>0.1</v>
      </c>
      <c r="T74" s="989">
        <f t="shared" si="107"/>
        <v>105.68799999999999</v>
      </c>
      <c r="U74" s="989">
        <f t="shared" si="108"/>
        <v>951.19199999999989</v>
      </c>
      <c r="V74" s="989">
        <f t="shared" si="109"/>
        <v>1122.2144000000001</v>
      </c>
      <c r="W74" s="989">
        <f t="shared" si="110"/>
        <v>31422.003200000003</v>
      </c>
      <c r="X74" s="991">
        <f t="shared" si="111"/>
        <v>80827.271600000007</v>
      </c>
      <c r="Y74" s="46"/>
      <c r="Z74" s="46"/>
    </row>
    <row r="75" spans="1:26" ht="11.25" customHeight="1">
      <c r="A75" s="46"/>
      <c r="B75" s="268"/>
      <c r="C75" s="274"/>
      <c r="D75" s="274"/>
      <c r="E75" s="472"/>
      <c r="F75" s="57"/>
      <c r="G75" s="57"/>
      <c r="H75" s="57"/>
      <c r="I75" s="57"/>
      <c r="J75" s="437"/>
      <c r="K75" s="437"/>
      <c r="L75" s="274"/>
      <c r="M75" s="437"/>
      <c r="N75" s="274"/>
      <c r="O75" s="437"/>
      <c r="P75" s="437"/>
      <c r="Q75" s="437"/>
      <c r="R75" s="437"/>
      <c r="S75" s="274"/>
      <c r="T75" s="437"/>
      <c r="U75" s="437"/>
      <c r="V75" s="437"/>
      <c r="W75" s="437"/>
      <c r="X75" s="1001"/>
      <c r="Y75" s="46"/>
      <c r="Z75" s="46"/>
    </row>
    <row r="76" spans="1:26" ht="15.75" customHeight="1">
      <c r="A76" s="46"/>
      <c r="B76" s="1024"/>
      <c r="C76" s="1025"/>
      <c r="D76" s="1025"/>
      <c r="E76" s="1026"/>
      <c r="F76" s="1025"/>
      <c r="G76" s="1027"/>
      <c r="H76" s="1027"/>
      <c r="I76" s="1027"/>
      <c r="J76" s="1028">
        <f t="shared" ref="J76:K76" si="112">SUM(J10:J75)</f>
        <v>405180.9</v>
      </c>
      <c r="K76" s="1028">
        <f t="shared" si="112"/>
        <v>150061.04</v>
      </c>
      <c r="L76" s="1025"/>
      <c r="M76" s="1029"/>
      <c r="N76" s="1029"/>
      <c r="O76" s="1028">
        <f t="shared" ref="O76:Q76" si="113">SUM(O10:O74)</f>
        <v>67035.268462558015</v>
      </c>
      <c r="P76" s="1028">
        <f t="shared" si="113"/>
        <v>184346.98827203448</v>
      </c>
      <c r="Q76" s="1028">
        <f t="shared" si="113"/>
        <v>1676.7966174420008</v>
      </c>
      <c r="R76" s="1029"/>
      <c r="S76" s="1025"/>
      <c r="T76" s="1028">
        <f>SUM(T10:T75)</f>
        <v>8281.3676319999977</v>
      </c>
      <c r="U76" s="1029"/>
      <c r="V76" s="1029"/>
      <c r="W76" s="1029"/>
      <c r="X76" s="1030"/>
      <c r="Y76" s="46"/>
      <c r="Z76" s="46"/>
    </row>
    <row r="77" spans="1:26" ht="15.75" customHeight="1">
      <c r="A77" s="46"/>
      <c r="B77" s="46"/>
      <c r="C77" s="46"/>
      <c r="D77" s="46"/>
      <c r="E77" s="46"/>
      <c r="F77" s="46"/>
      <c r="G77" s="46"/>
      <c r="H77" s="46"/>
      <c r="I77" s="46"/>
      <c r="J77" s="1031"/>
      <c r="K77" s="46"/>
      <c r="L77" s="46"/>
      <c r="M77" s="152"/>
      <c r="N77" s="46"/>
      <c r="O77" s="1032"/>
      <c r="P77" s="46"/>
      <c r="Q77" s="46"/>
      <c r="R77" s="46"/>
      <c r="S77" s="46"/>
      <c r="T77" s="46"/>
      <c r="U77" s="46"/>
      <c r="V77" s="1031"/>
      <c r="W77" s="46"/>
      <c r="X77" s="46"/>
      <c r="Y77" s="46"/>
      <c r="Z77" s="46"/>
    </row>
    <row r="78" spans="1:26" ht="14.25" customHeight="1">
      <c r="A78" s="46"/>
      <c r="B78" s="46"/>
      <c r="C78" s="46"/>
      <c r="D78" s="46"/>
      <c r="E78" s="46"/>
      <c r="F78" s="46"/>
      <c r="G78" s="46"/>
      <c r="H78" s="46"/>
      <c r="I78" s="46"/>
      <c r="J78" s="46"/>
      <c r="K78" s="1033"/>
      <c r="L78" s="46"/>
      <c r="M78" s="152"/>
      <c r="N78" s="152"/>
      <c r="O78" s="1032"/>
      <c r="P78" s="46"/>
      <c r="Q78" s="46"/>
      <c r="R78" s="46"/>
      <c r="S78" s="46"/>
      <c r="T78" s="46"/>
      <c r="U78" s="46"/>
      <c r="V78" s="1034"/>
      <c r="W78" s="46"/>
      <c r="X78" s="1035"/>
      <c r="Y78" s="46"/>
      <c r="Z78" s="46"/>
    </row>
    <row r="79" spans="1:26" ht="14.25" customHeight="1">
      <c r="A79" s="46"/>
      <c r="B79" s="46"/>
      <c r="C79" s="46"/>
      <c r="D79" s="46"/>
      <c r="E79" s="46"/>
      <c r="F79" s="46"/>
      <c r="G79" s="46"/>
      <c r="H79" s="46"/>
      <c r="I79" s="46"/>
      <c r="J79" s="1036"/>
      <c r="K79" s="1034"/>
      <c r="L79" s="46"/>
      <c r="M79" s="152"/>
      <c r="N79" s="46"/>
      <c r="O79" s="1032"/>
      <c r="P79" s="46"/>
      <c r="Q79" s="46"/>
      <c r="R79" s="46"/>
      <c r="S79" s="46"/>
      <c r="T79" s="46"/>
      <c r="U79" s="46"/>
      <c r="V79" s="46"/>
      <c r="W79" s="46"/>
      <c r="X79" s="46"/>
      <c r="Y79" s="46"/>
      <c r="Z79" s="46"/>
    </row>
    <row r="80" spans="1:26" ht="15.75" customHeight="1">
      <c r="A80" s="46"/>
      <c r="B80" s="46"/>
      <c r="C80" s="1663" t="s">
        <v>1</v>
      </c>
      <c r="D80" s="1664"/>
      <c r="E80" s="46"/>
      <c r="F80" s="46"/>
      <c r="G80" s="1743" t="s">
        <v>979</v>
      </c>
      <c r="H80" s="1737"/>
      <c r="I80" s="1737"/>
      <c r="J80" s="1664"/>
      <c r="K80" s="1037">
        <f>K76</f>
        <v>150061.04</v>
      </c>
      <c r="L80" s="232"/>
      <c r="M80" s="1756" t="s">
        <v>980</v>
      </c>
      <c r="N80" s="1664"/>
      <c r="O80" s="1038">
        <f>O10+O15+O17+O22+O23+O28+O31+O33+O42+O53+O59+O71+O74</f>
        <v>47803.169040558001</v>
      </c>
      <c r="P80" s="232"/>
      <c r="Q80" s="1757" t="s">
        <v>981</v>
      </c>
      <c r="R80" s="1737"/>
      <c r="S80" s="1737"/>
      <c r="T80" s="1737"/>
      <c r="U80" s="1664"/>
      <c r="V80" s="1039">
        <f>O50+O51+O57+O58</f>
        <v>19232.099421999999</v>
      </c>
      <c r="W80" s="46"/>
      <c r="X80" s="1031"/>
      <c r="Y80" s="46"/>
      <c r="Z80" s="46"/>
    </row>
    <row r="81" spans="1:26" ht="15.75" customHeight="1">
      <c r="A81" s="46"/>
      <c r="B81" s="46"/>
      <c r="C81" s="25"/>
      <c r="D81" s="25"/>
      <c r="E81" s="46"/>
      <c r="F81" s="46"/>
      <c r="G81" s="1747" t="s">
        <v>982</v>
      </c>
      <c r="H81" s="1737"/>
      <c r="I81" s="1737"/>
      <c r="J81" s="1664"/>
      <c r="K81" s="1040">
        <f>$D$83</f>
        <v>28</v>
      </c>
      <c r="L81" s="232"/>
      <c r="M81" s="1758" t="s">
        <v>983</v>
      </c>
      <c r="N81" s="1664"/>
      <c r="O81" s="1040">
        <f>$D$83</f>
        <v>28</v>
      </c>
      <c r="P81" s="232"/>
      <c r="Q81" s="1747" t="s">
        <v>984</v>
      </c>
      <c r="R81" s="1737"/>
      <c r="S81" s="1737"/>
      <c r="T81" s="1737"/>
      <c r="U81" s="1664"/>
      <c r="V81" s="1040">
        <f>$D$83</f>
        <v>28</v>
      </c>
      <c r="W81" s="46"/>
      <c r="X81" s="46"/>
      <c r="Y81" s="46"/>
      <c r="Z81" s="46"/>
    </row>
    <row r="82" spans="1:26" ht="15.75" customHeight="1">
      <c r="A82" s="46"/>
      <c r="B82" s="46"/>
      <c r="C82" s="26" t="s">
        <v>60</v>
      </c>
      <c r="D82" s="27">
        <f>Summary!$E4</f>
        <v>1</v>
      </c>
      <c r="E82" s="46"/>
      <c r="F82" s="46"/>
      <c r="G82" s="1750" t="s">
        <v>985</v>
      </c>
      <c r="H82" s="1737"/>
      <c r="I82" s="1737"/>
      <c r="J82" s="1664"/>
      <c r="K82" s="1041">
        <f>K80*K81*0.9072</f>
        <v>3811790.5136640002</v>
      </c>
      <c r="L82" s="232"/>
      <c r="M82" s="1042" t="s">
        <v>986</v>
      </c>
      <c r="N82" s="1043"/>
      <c r="O82" s="1044">
        <f>(O80*O81)*0.907184</f>
        <v>1214255.5628809079</v>
      </c>
      <c r="P82" s="232"/>
      <c r="Q82" s="1749" t="s">
        <v>987</v>
      </c>
      <c r="R82" s="1737"/>
      <c r="S82" s="1737"/>
      <c r="T82" s="1737"/>
      <c r="U82" s="1664"/>
      <c r="V82" s="1045">
        <f>(V80*V81)*0.907184</f>
        <v>488517.4806973341</v>
      </c>
      <c r="W82" s="46"/>
      <c r="X82" s="46"/>
      <c r="Y82" s="46"/>
      <c r="Z82" s="46"/>
    </row>
    <row r="83" spans="1:26" ht="15.75" customHeight="1">
      <c r="A83" s="46"/>
      <c r="B83" s="46"/>
      <c r="C83" s="26" t="s">
        <v>62</v>
      </c>
      <c r="D83" s="27">
        <f>Summary!$E5</f>
        <v>28</v>
      </c>
      <c r="E83" s="46"/>
      <c r="F83" s="46"/>
      <c r="G83" s="1751" t="s">
        <v>988</v>
      </c>
      <c r="H83" s="1737"/>
      <c r="I83" s="1737"/>
      <c r="J83" s="1664"/>
      <c r="K83" s="1046">
        <f>K82*7%</f>
        <v>266825.33595648006</v>
      </c>
      <c r="L83" s="232"/>
      <c r="M83" s="1752"/>
      <c r="N83" s="1664"/>
      <c r="O83" s="265"/>
      <c r="P83" s="232"/>
      <c r="Q83" s="1743"/>
      <c r="R83" s="1737"/>
      <c r="S83" s="1737"/>
      <c r="T83" s="1737"/>
      <c r="U83" s="1664"/>
      <c r="V83" s="1047"/>
      <c r="W83" s="46"/>
      <c r="X83" s="46"/>
      <c r="Y83" s="46"/>
      <c r="Z83" s="46"/>
    </row>
    <row r="84" spans="1:26" ht="15.75" customHeight="1">
      <c r="A84" s="46"/>
      <c r="B84" s="46"/>
      <c r="C84" s="26" t="s">
        <v>63</v>
      </c>
      <c r="D84" s="27">
        <f>Summary!$E6</f>
        <v>265</v>
      </c>
      <c r="E84" s="46"/>
      <c r="F84" s="46"/>
      <c r="G84" s="1743"/>
      <c r="H84" s="1737"/>
      <c r="I84" s="1737"/>
      <c r="J84" s="1664"/>
      <c r="K84" s="265"/>
      <c r="L84" s="232"/>
      <c r="M84" s="1743"/>
      <c r="N84" s="1664"/>
      <c r="O84" s="265"/>
      <c r="P84" s="232"/>
      <c r="Q84" s="1743"/>
      <c r="R84" s="1737"/>
      <c r="S84" s="1737"/>
      <c r="T84" s="1737"/>
      <c r="U84" s="1664"/>
      <c r="V84" s="265"/>
      <c r="W84" s="46"/>
      <c r="X84" s="46"/>
      <c r="Y84" s="46"/>
      <c r="Z84" s="46"/>
    </row>
    <row r="85" spans="1:26" ht="15.75" customHeight="1">
      <c r="A85" s="46"/>
      <c r="B85" s="46"/>
      <c r="C85" s="26" t="s">
        <v>65</v>
      </c>
      <c r="D85" s="29">
        <f>Summary!$E7</f>
        <v>23500</v>
      </c>
      <c r="E85" s="46"/>
      <c r="F85" s="46"/>
      <c r="G85" s="1753" t="s">
        <v>989</v>
      </c>
      <c r="H85" s="1737"/>
      <c r="I85" s="1737"/>
      <c r="J85" s="1664"/>
      <c r="K85" s="1048">
        <f>(K82+K83)</f>
        <v>4078615.8496204801</v>
      </c>
      <c r="L85" s="232"/>
      <c r="M85" s="1754" t="s">
        <v>990</v>
      </c>
      <c r="N85" s="1664"/>
      <c r="O85" s="1049">
        <f>O82+V82</f>
        <v>1702773.043578242</v>
      </c>
      <c r="P85" s="232"/>
      <c r="Q85" s="1738" t="s">
        <v>991</v>
      </c>
      <c r="R85" s="1737"/>
      <c r="S85" s="1737"/>
      <c r="T85" s="1737"/>
      <c r="U85" s="1664"/>
      <c r="V85" s="1040">
        <f>V82*(12/44)</f>
        <v>133232.04019018202</v>
      </c>
      <c r="W85" s="46"/>
      <c r="X85" s="46"/>
      <c r="Y85" s="46"/>
      <c r="Z85" s="46"/>
    </row>
    <row r="86" spans="1:26" ht="15.75" customHeight="1">
      <c r="A86" s="46"/>
      <c r="B86" s="46"/>
      <c r="C86" s="26"/>
      <c r="D86" s="29"/>
      <c r="E86" s="46"/>
      <c r="F86" s="46"/>
      <c r="G86" s="1743"/>
      <c r="H86" s="1737"/>
      <c r="I86" s="1737"/>
      <c r="J86" s="1664"/>
      <c r="K86" s="264"/>
      <c r="L86" s="232"/>
      <c r="M86" s="1743"/>
      <c r="N86" s="1664"/>
      <c r="O86" s="264"/>
      <c r="P86" s="232"/>
      <c r="Q86" s="1743"/>
      <c r="R86" s="1737"/>
      <c r="S86" s="1737"/>
      <c r="T86" s="1737"/>
      <c r="U86" s="1664"/>
      <c r="V86" s="264"/>
      <c r="W86" s="46"/>
      <c r="X86" s="46"/>
      <c r="Y86" s="46"/>
      <c r="Z86" s="46"/>
    </row>
    <row r="87" spans="1:26" ht="15.75" customHeight="1">
      <c r="A87" s="46"/>
      <c r="B87" s="46"/>
      <c r="C87" s="46"/>
      <c r="D87" s="46"/>
      <c r="E87" s="46"/>
      <c r="F87" s="46"/>
      <c r="G87" s="1738" t="s">
        <v>992</v>
      </c>
      <c r="H87" s="1737"/>
      <c r="I87" s="1737"/>
      <c r="J87" s="1664"/>
      <c r="K87" s="1040">
        <f>K85*(12/44)</f>
        <v>1112349.7771692218</v>
      </c>
      <c r="L87" s="232"/>
      <c r="M87" s="1755" t="s">
        <v>993</v>
      </c>
      <c r="N87" s="1664"/>
      <c r="O87" s="1040">
        <f>O85*(12/44)</f>
        <v>464392.64824861143</v>
      </c>
      <c r="P87" s="232"/>
      <c r="Q87" s="1746" t="s">
        <v>994</v>
      </c>
      <c r="R87" s="1737"/>
      <c r="S87" s="1737"/>
      <c r="T87" s="1737"/>
      <c r="U87" s="1664"/>
      <c r="V87" s="1050">
        <f>T76</f>
        <v>8281.3676319999977</v>
      </c>
      <c r="W87" s="46"/>
      <c r="X87" s="46"/>
      <c r="Y87" s="46"/>
      <c r="Z87" s="46"/>
    </row>
    <row r="88" spans="1:26" ht="15.75" customHeight="1">
      <c r="A88" s="46"/>
      <c r="B88" s="46"/>
      <c r="C88" s="46"/>
      <c r="D88" s="46"/>
      <c r="E88" s="46"/>
      <c r="F88" s="46"/>
      <c r="G88" s="232"/>
      <c r="H88" s="232"/>
      <c r="I88" s="232"/>
      <c r="J88" s="232"/>
      <c r="K88" s="232"/>
      <c r="L88" s="232"/>
      <c r="M88" s="232"/>
      <c r="N88" s="232"/>
      <c r="O88" s="232"/>
      <c r="P88" s="232"/>
      <c r="Q88" s="1747" t="s">
        <v>995</v>
      </c>
      <c r="R88" s="1737"/>
      <c r="S88" s="1737"/>
      <c r="T88" s="1737"/>
      <c r="U88" s="1664"/>
      <c r="V88" s="1051">
        <f>$D$83</f>
        <v>28</v>
      </c>
      <c r="W88" s="46"/>
      <c r="X88" s="46"/>
      <c r="Y88" s="46"/>
      <c r="Z88" s="46"/>
    </row>
    <row r="89" spans="1:26" ht="15.75" customHeight="1">
      <c r="A89" s="46"/>
      <c r="B89" s="46"/>
      <c r="C89" s="46"/>
      <c r="D89" s="46"/>
      <c r="E89" s="46"/>
      <c r="F89" s="46"/>
      <c r="G89" s="232"/>
      <c r="H89" s="232"/>
      <c r="I89" s="232"/>
      <c r="J89" s="232"/>
      <c r="K89" s="232"/>
      <c r="L89" s="232"/>
      <c r="M89" s="232"/>
      <c r="N89" s="232"/>
      <c r="O89" s="232"/>
      <c r="P89" s="232"/>
      <c r="Q89" s="1748" t="s">
        <v>996</v>
      </c>
      <c r="R89" s="1737"/>
      <c r="S89" s="1737"/>
      <c r="T89" s="1737"/>
      <c r="U89" s="1664"/>
      <c r="V89" s="1052">
        <f>(V87*V88)*0.907184</f>
        <v>210356.27798831201</v>
      </c>
      <c r="W89" s="46"/>
      <c r="X89" s="46"/>
      <c r="Y89" s="46"/>
      <c r="Z89" s="46"/>
    </row>
    <row r="90" spans="1:26" ht="15.75" customHeight="1">
      <c r="A90" s="46"/>
      <c r="B90" s="46"/>
      <c r="C90" s="46"/>
      <c r="D90" s="46"/>
      <c r="E90" s="46"/>
      <c r="F90" s="46"/>
      <c r="G90" s="232"/>
      <c r="H90" s="232"/>
      <c r="I90" s="232"/>
      <c r="J90" s="232"/>
      <c r="K90" s="232"/>
      <c r="L90" s="232"/>
      <c r="M90" s="232"/>
      <c r="N90" s="232"/>
      <c r="O90" s="232"/>
      <c r="P90" s="232"/>
      <c r="Q90" s="1743"/>
      <c r="R90" s="1737"/>
      <c r="S90" s="1737"/>
      <c r="T90" s="1737"/>
      <c r="U90" s="1664"/>
      <c r="V90" s="264"/>
      <c r="W90" s="46"/>
      <c r="X90" s="46"/>
      <c r="Y90" s="46"/>
      <c r="Z90" s="46"/>
    </row>
    <row r="91" spans="1:26" ht="15.75" customHeight="1">
      <c r="A91" s="46"/>
      <c r="B91" s="46"/>
      <c r="C91" s="46"/>
      <c r="D91" s="46"/>
      <c r="E91" s="46"/>
      <c r="F91" s="46"/>
      <c r="G91" s="232"/>
      <c r="H91" s="232"/>
      <c r="I91" s="232"/>
      <c r="J91" s="232"/>
      <c r="K91" s="232"/>
      <c r="L91" s="232"/>
      <c r="M91" s="232"/>
      <c r="N91" s="232"/>
      <c r="O91" s="232"/>
      <c r="P91" s="232"/>
      <c r="Q91" s="1738" t="s">
        <v>997</v>
      </c>
      <c r="R91" s="1737"/>
      <c r="S91" s="1737"/>
      <c r="T91" s="1737"/>
      <c r="U91" s="1664"/>
      <c r="V91" s="1053">
        <f>V89*(12/44)</f>
        <v>57369.89399681236</v>
      </c>
      <c r="W91" s="46"/>
      <c r="X91" s="46"/>
      <c r="Y91" s="46"/>
      <c r="Z91" s="46"/>
    </row>
    <row r="92" spans="1:26" ht="15.75" customHeight="1">
      <c r="A92" s="46"/>
      <c r="B92" s="46"/>
      <c r="C92" s="46"/>
      <c r="D92" s="46"/>
      <c r="E92" s="46"/>
      <c r="F92" s="46"/>
      <c r="G92" s="232"/>
      <c r="H92" s="232"/>
      <c r="I92" s="232"/>
      <c r="J92" s="232"/>
      <c r="K92" s="232"/>
      <c r="L92" s="232"/>
      <c r="M92" s="232"/>
      <c r="N92" s="232"/>
      <c r="O92" s="232"/>
      <c r="P92" s="232"/>
      <c r="Q92" s="1743"/>
      <c r="R92" s="1737"/>
      <c r="S92" s="1737"/>
      <c r="T92" s="1737"/>
      <c r="U92" s="1664"/>
      <c r="V92" s="264"/>
      <c r="W92" s="46"/>
      <c r="X92" s="46"/>
      <c r="Y92" s="46"/>
      <c r="Z92" s="46"/>
    </row>
    <row r="93" spans="1:26" ht="15.75" customHeight="1">
      <c r="A93" s="46"/>
      <c r="B93" s="46"/>
      <c r="C93" s="46"/>
      <c r="D93" s="46"/>
      <c r="E93" s="46"/>
      <c r="F93" s="46"/>
      <c r="G93" s="232"/>
      <c r="H93" s="232"/>
      <c r="I93" s="232"/>
      <c r="J93" s="232"/>
      <c r="K93" s="232"/>
      <c r="L93" s="232"/>
      <c r="M93" s="232"/>
      <c r="N93" s="232"/>
      <c r="O93" s="232"/>
      <c r="P93" s="232"/>
      <c r="Q93" s="1744" t="s">
        <v>998</v>
      </c>
      <c r="R93" s="1737"/>
      <c r="S93" s="1737"/>
      <c r="T93" s="1737"/>
      <c r="U93" s="1664"/>
      <c r="V93" s="1054">
        <f>V89*7%</f>
        <v>14724.939459181842</v>
      </c>
      <c r="W93" s="1031"/>
      <c r="X93" s="46"/>
      <c r="Y93" s="46"/>
      <c r="Z93" s="46"/>
    </row>
    <row r="94" spans="1:26" ht="15.75" customHeight="1">
      <c r="A94" s="46"/>
      <c r="B94" s="46"/>
      <c r="C94" s="46"/>
      <c r="D94" s="46"/>
      <c r="E94" s="46"/>
      <c r="F94" s="46"/>
      <c r="G94" s="232"/>
      <c r="H94" s="232"/>
      <c r="I94" s="232"/>
      <c r="J94" s="232"/>
      <c r="K94" s="232"/>
      <c r="L94" s="232"/>
      <c r="M94" s="232"/>
      <c r="N94" s="232"/>
      <c r="O94" s="232"/>
      <c r="P94" s="232"/>
      <c r="Q94" s="1745"/>
      <c r="R94" s="1737"/>
      <c r="S94" s="1737"/>
      <c r="T94" s="1737"/>
      <c r="U94" s="1664"/>
      <c r="V94" s="265"/>
      <c r="W94" s="1031"/>
      <c r="X94" s="46"/>
      <c r="Y94" s="46"/>
      <c r="Z94" s="46"/>
    </row>
    <row r="95" spans="1:26" ht="15.75" customHeight="1">
      <c r="A95" s="46"/>
      <c r="B95" s="46"/>
      <c r="C95" s="46"/>
      <c r="D95" s="46"/>
      <c r="E95" s="46"/>
      <c r="F95" s="46"/>
      <c r="G95" s="232"/>
      <c r="H95" s="232"/>
      <c r="I95" s="232"/>
      <c r="J95" s="232"/>
      <c r="K95" s="232"/>
      <c r="L95" s="232"/>
      <c r="M95" s="232"/>
      <c r="N95" s="232"/>
      <c r="O95" s="232"/>
      <c r="P95" s="232"/>
      <c r="Q95" s="1738" t="s">
        <v>999</v>
      </c>
      <c r="R95" s="1737"/>
      <c r="S95" s="1737"/>
      <c r="T95" s="1737"/>
      <c r="U95" s="1664"/>
      <c r="V95" s="1053">
        <f>V93*(12/44)</f>
        <v>4015.8925797768657</v>
      </c>
      <c r="W95" s="1031"/>
      <c r="X95" s="46"/>
      <c r="Y95" s="46"/>
      <c r="Z95" s="46"/>
    </row>
    <row r="96" spans="1:26" ht="15.75" customHeight="1">
      <c r="A96" s="46"/>
      <c r="B96" s="46"/>
      <c r="C96" s="46"/>
      <c r="D96" s="46"/>
      <c r="E96" s="46"/>
      <c r="F96" s="46"/>
      <c r="G96" s="232"/>
      <c r="H96" s="232"/>
      <c r="I96" s="232"/>
      <c r="J96" s="232"/>
      <c r="K96" s="232"/>
      <c r="L96" s="232"/>
      <c r="M96" s="232"/>
      <c r="N96" s="232"/>
      <c r="O96" s="232"/>
      <c r="P96" s="232"/>
      <c r="Q96" s="1739"/>
      <c r="R96" s="1737"/>
      <c r="S96" s="1737"/>
      <c r="T96" s="1737"/>
      <c r="U96" s="1664"/>
      <c r="V96" s="265"/>
      <c r="W96" s="1031"/>
      <c r="X96" s="46"/>
      <c r="Y96" s="46"/>
      <c r="Z96" s="46"/>
    </row>
    <row r="97" spans="1:26" ht="15.75" customHeight="1">
      <c r="A97" s="46"/>
      <c r="B97" s="46"/>
      <c r="C97" s="46"/>
      <c r="D97" s="46"/>
      <c r="E97" s="46"/>
      <c r="F97" s="46"/>
      <c r="G97" s="232"/>
      <c r="H97" s="232"/>
      <c r="I97" s="232"/>
      <c r="J97" s="232"/>
      <c r="K97" s="232"/>
      <c r="L97" s="232"/>
      <c r="M97" s="232"/>
      <c r="N97" s="232"/>
      <c r="O97" s="232"/>
      <c r="P97" s="232"/>
      <c r="Q97" s="1740" t="s">
        <v>1000</v>
      </c>
      <c r="R97" s="1737"/>
      <c r="S97" s="1737"/>
      <c r="T97" s="1737"/>
      <c r="U97" s="1664"/>
      <c r="V97" s="1055">
        <f>(K85-O85-V89-V93)</f>
        <v>2150761.5885947444</v>
      </c>
      <c r="W97" s="1056"/>
      <c r="X97" s="46"/>
      <c r="Y97" s="46"/>
      <c r="Z97" s="46"/>
    </row>
    <row r="98" spans="1:26" ht="15.75" customHeight="1">
      <c r="A98" s="46"/>
      <c r="B98" s="46"/>
      <c r="C98" s="46"/>
      <c r="D98" s="46"/>
      <c r="E98" s="46"/>
      <c r="F98" s="46"/>
      <c r="G98" s="232"/>
      <c r="H98" s="232"/>
      <c r="I98" s="232"/>
      <c r="J98" s="232"/>
      <c r="K98" s="232"/>
      <c r="L98" s="232"/>
      <c r="M98" s="232"/>
      <c r="N98" s="232"/>
      <c r="O98" s="232"/>
      <c r="P98" s="232"/>
      <c r="Q98" s="1739"/>
      <c r="R98" s="1737"/>
      <c r="S98" s="1737"/>
      <c r="T98" s="1737"/>
      <c r="U98" s="1664"/>
      <c r="V98" s="265"/>
      <c r="W98" s="1031"/>
      <c r="X98" s="46"/>
      <c r="Y98" s="46"/>
      <c r="Z98" s="46"/>
    </row>
    <row r="99" spans="1:26" ht="15.75" customHeight="1">
      <c r="A99" s="46"/>
      <c r="B99" s="46"/>
      <c r="C99" s="46"/>
      <c r="D99" s="46"/>
      <c r="E99" s="46"/>
      <c r="F99" s="46"/>
      <c r="G99" s="232"/>
      <c r="H99" s="232"/>
      <c r="I99" s="232"/>
      <c r="J99" s="232"/>
      <c r="K99" s="232"/>
      <c r="L99" s="232"/>
      <c r="M99" s="232"/>
      <c r="N99" s="232"/>
      <c r="O99" s="232"/>
      <c r="P99" s="232"/>
      <c r="Q99" s="1739" t="s">
        <v>1001</v>
      </c>
      <c r="R99" s="1737"/>
      <c r="S99" s="1737"/>
      <c r="T99" s="1737"/>
      <c r="U99" s="1664"/>
      <c r="V99" s="1057">
        <f>P76*0.907184</f>
        <v>167236.63820857732</v>
      </c>
      <c r="W99" s="1031"/>
      <c r="X99" s="46"/>
      <c r="Y99" s="46"/>
      <c r="Z99" s="46"/>
    </row>
    <row r="100" spans="1:26" ht="15.75" customHeight="1">
      <c r="A100" s="46"/>
      <c r="B100" s="46"/>
      <c r="C100" s="46"/>
      <c r="D100" s="46"/>
      <c r="E100" s="46"/>
      <c r="F100" s="46"/>
      <c r="G100" s="232"/>
      <c r="H100" s="232"/>
      <c r="I100" s="232"/>
      <c r="J100" s="232"/>
      <c r="K100" s="232"/>
      <c r="L100" s="232"/>
      <c r="M100" s="232"/>
      <c r="N100" s="232"/>
      <c r="O100" s="232"/>
      <c r="P100" s="232"/>
      <c r="Q100" s="1741"/>
      <c r="R100" s="1737"/>
      <c r="S100" s="1737"/>
      <c r="T100" s="1737"/>
      <c r="U100" s="1664"/>
      <c r="V100" s="265"/>
      <c r="W100" s="1031"/>
      <c r="X100" s="46"/>
      <c r="Y100" s="46"/>
      <c r="Z100" s="46"/>
    </row>
    <row r="101" spans="1:26" ht="15.75" customHeight="1">
      <c r="A101" s="46"/>
      <c r="B101" s="46"/>
      <c r="C101" s="46"/>
      <c r="D101" s="46"/>
      <c r="E101" s="46"/>
      <c r="F101" s="46"/>
      <c r="G101" s="232"/>
      <c r="H101" s="232"/>
      <c r="I101" s="232"/>
      <c r="J101" s="232"/>
      <c r="K101" s="232"/>
      <c r="L101" s="232"/>
      <c r="M101" s="232"/>
      <c r="N101" s="232"/>
      <c r="O101" s="232"/>
      <c r="P101" s="232"/>
      <c r="Q101" s="1742" t="s">
        <v>1002</v>
      </c>
      <c r="R101" s="1737"/>
      <c r="S101" s="1737"/>
      <c r="T101" s="1737"/>
      <c r="U101" s="1664"/>
      <c r="V101" s="1058">
        <f>(V99/1000000)+((J76*0.907184)/1000000)</f>
        <v>0.53481026779417729</v>
      </c>
      <c r="W101" s="1031"/>
      <c r="X101" s="46"/>
      <c r="Y101" s="46"/>
      <c r="Z101" s="46"/>
    </row>
    <row r="102" spans="1:26" ht="15.75" customHeight="1">
      <c r="A102" s="46"/>
      <c r="B102" s="46"/>
      <c r="C102" s="46"/>
      <c r="D102" s="46"/>
      <c r="E102" s="46"/>
      <c r="F102" s="46"/>
      <c r="G102" s="232"/>
      <c r="H102" s="232"/>
      <c r="I102" s="232"/>
      <c r="J102" s="232"/>
      <c r="K102" s="232"/>
      <c r="L102" s="232"/>
      <c r="M102" s="232"/>
      <c r="N102" s="232"/>
      <c r="O102" s="232"/>
      <c r="P102" s="232"/>
      <c r="Q102" s="1743"/>
      <c r="R102" s="1737"/>
      <c r="S102" s="1737"/>
      <c r="T102" s="1737"/>
      <c r="U102" s="1664"/>
      <c r="V102" s="265"/>
      <c r="W102" s="1031"/>
      <c r="X102" s="46"/>
      <c r="Y102" s="46"/>
      <c r="Z102" s="46"/>
    </row>
    <row r="103" spans="1:26" ht="15.75" customHeight="1">
      <c r="A103" s="46"/>
      <c r="B103" s="46"/>
      <c r="C103" s="46"/>
      <c r="D103" s="46"/>
      <c r="E103" s="46"/>
      <c r="F103" s="46"/>
      <c r="G103" s="232"/>
      <c r="H103" s="232"/>
      <c r="I103" s="232"/>
      <c r="J103" s="232"/>
      <c r="K103" s="232"/>
      <c r="L103" s="232"/>
      <c r="M103" s="232"/>
      <c r="N103" s="232"/>
      <c r="O103" s="232"/>
      <c r="P103" s="232"/>
      <c r="Q103" s="1743"/>
      <c r="R103" s="1737"/>
      <c r="S103" s="1737"/>
      <c r="T103" s="1737"/>
      <c r="U103" s="1664"/>
      <c r="V103" s="264"/>
      <c r="W103" s="46"/>
      <c r="X103" s="46"/>
      <c r="Y103" s="46"/>
      <c r="Z103" s="46"/>
    </row>
    <row r="104" spans="1:26" ht="15.75" customHeight="1">
      <c r="A104" s="46"/>
      <c r="B104" s="46"/>
      <c r="C104" s="46"/>
      <c r="D104" s="46"/>
      <c r="E104" s="46"/>
      <c r="F104" s="46"/>
      <c r="G104" s="232"/>
      <c r="H104" s="232"/>
      <c r="I104" s="232"/>
      <c r="J104" s="232"/>
      <c r="K104" s="232"/>
      <c r="L104" s="232"/>
      <c r="M104" s="232"/>
      <c r="N104" s="232"/>
      <c r="O104" s="232"/>
      <c r="P104" s="232"/>
      <c r="Q104" s="1736" t="s">
        <v>1003</v>
      </c>
      <c r="R104" s="1737"/>
      <c r="S104" s="1737"/>
      <c r="T104" s="1737"/>
      <c r="U104" s="1664"/>
      <c r="V104" s="1059">
        <f>V97/1000000</f>
        <v>2.1507615885947446</v>
      </c>
      <c r="W104" s="46"/>
      <c r="X104" s="46"/>
      <c r="Y104" s="46"/>
      <c r="Z104" s="46"/>
    </row>
    <row r="105" spans="1:26" ht="11.25"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1.25"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1.25"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1.25"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1.25"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1.25"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1.25"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1.25"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1.25"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1.25"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1.25"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1.25"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1.25"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1.25"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1.25"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1.25"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1.25"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1.25"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1.25"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1.25"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1.25"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1.25"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1.25"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1.25"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1.25"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1.25"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1.25"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1.25"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1.25"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1.25"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1.25"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1.25"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1.25"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1.25"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1.25"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1.25"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1.25"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1.25"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1.25"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1.25"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1.25"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1.25"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1.25"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1.25"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1.25"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1.25"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1.25"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1.25"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1.25"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1.25"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1.25"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1.25"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1.25"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1.25"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1.25"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1.25"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1.25"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1.25"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1.25"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1.25"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1.25"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1.25"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1.25"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1.25"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1.25"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1.25"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1.25"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1.25"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1.25"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1.25"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1.25"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1.25"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1.25"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1.25"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1.25"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1.25"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1.25"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1.25"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1.25"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1.25"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1.25"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1.25"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1.25"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1.25"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1.25"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1.25"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1.25"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1.25"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1.25"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1.25"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1.25"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1.25"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1.25"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1.25"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1.25"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1.25"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1.25"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1.25"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1.25"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1.25"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1.25"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1.25"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1.25"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1.25"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1.25"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1.25"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1.25"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1.25"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1.25"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1.25"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1.25"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1.25"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1.25"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1.25"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1.25"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1.25"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1.25"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1.25"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1.25"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1.25"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1.25"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1.25"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1.25"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1.25"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1.25"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1.25"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1.25"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1.25"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1.25"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1.25"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1.25"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1.25"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1.25"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1.25"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1.25"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1.25"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1.25"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1.25"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1.25"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1.25"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1.25"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1.25"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1.25"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1.25"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1.25"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1.25"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1.25"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1.25"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1.25"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1.25"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1.25"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1.25"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1.25"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1.25"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1.25"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1.25"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1.25"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1.25"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1.25"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1.25"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1.25"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1.25"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1.25"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1.25"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1.25"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1.25"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1.25"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1.25"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1.25"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1.25"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1.25"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1.25"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1.25"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1.25"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1.25"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1.25"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1.25"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1.25"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1.25"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1.25"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1.25"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1.25"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1.25"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1.25"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1.25"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1.25"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1.25"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1.25"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1.25"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1.25"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1.25"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1.25"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1.25"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1.25"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1.25"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1.25"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1.25"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1.25"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1.25"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1.25"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1">
    <mergeCell ref="C80:D80"/>
    <mergeCell ref="G80:J80"/>
    <mergeCell ref="M80:N80"/>
    <mergeCell ref="Q80:U80"/>
    <mergeCell ref="G81:J81"/>
    <mergeCell ref="M81:N81"/>
    <mergeCell ref="Q81:U81"/>
    <mergeCell ref="G82:J82"/>
    <mergeCell ref="G86:J86"/>
    <mergeCell ref="G87:J87"/>
    <mergeCell ref="G83:J83"/>
    <mergeCell ref="M83:N83"/>
    <mergeCell ref="G84:J84"/>
    <mergeCell ref="M84:N84"/>
    <mergeCell ref="G85:J85"/>
    <mergeCell ref="M85:N85"/>
    <mergeCell ref="M86:N86"/>
    <mergeCell ref="M87:N87"/>
    <mergeCell ref="Q82:U82"/>
    <mergeCell ref="Q83:U83"/>
    <mergeCell ref="Q84:U84"/>
    <mergeCell ref="Q85:U85"/>
    <mergeCell ref="Q86:U86"/>
    <mergeCell ref="Q87:U87"/>
    <mergeCell ref="Q88:U88"/>
    <mergeCell ref="Q89:U89"/>
    <mergeCell ref="Q90:U90"/>
    <mergeCell ref="Q91:U91"/>
    <mergeCell ref="Q92:U92"/>
    <mergeCell ref="Q93:U93"/>
    <mergeCell ref="Q94:U94"/>
    <mergeCell ref="Q102:U102"/>
    <mergeCell ref="Q103:U103"/>
    <mergeCell ref="Q104:U104"/>
    <mergeCell ref="Q95:U95"/>
    <mergeCell ref="Q96:U96"/>
    <mergeCell ref="Q97:U97"/>
    <mergeCell ref="Q98:U98"/>
    <mergeCell ref="Q99:U99"/>
    <mergeCell ref="Q100:U100"/>
    <mergeCell ref="Q101:U101"/>
  </mergeCells>
  <pageMargins left="0.7" right="0.7" top="0.75" bottom="0.75" header="0" footer="0"/>
  <pageSetup orientation="landscape"/>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1000"/>
  <sheetViews>
    <sheetView workbookViewId="0"/>
  </sheetViews>
  <sheetFormatPr defaultColWidth="16.85546875" defaultRowHeight="15" customHeight="1"/>
  <cols>
    <col min="1" max="1" width="3.85546875" customWidth="1"/>
    <col min="2" max="2" width="23" customWidth="1"/>
    <col min="3" max="3" width="12.42578125" customWidth="1"/>
    <col min="4" max="4" width="10.7109375" customWidth="1"/>
    <col min="5" max="5" width="11.85546875" customWidth="1"/>
    <col min="6" max="6" width="8" customWidth="1"/>
    <col min="7" max="7" width="16.42578125" customWidth="1"/>
    <col min="8" max="8" width="8" customWidth="1"/>
    <col min="9" max="9" width="13.28515625" customWidth="1"/>
    <col min="10" max="10" width="8" customWidth="1"/>
    <col min="11" max="11" width="11.140625" customWidth="1"/>
    <col min="12" max="12" width="8" customWidth="1"/>
    <col min="13" max="13" width="12.28515625" customWidth="1"/>
    <col min="14" max="14" width="8" customWidth="1"/>
    <col min="15" max="15" width="12.42578125" customWidth="1"/>
    <col min="16" max="18" width="8" customWidth="1"/>
    <col min="19" max="19" width="14" customWidth="1"/>
    <col min="20" max="20" width="8" customWidth="1"/>
    <col min="21" max="21" width="12.42578125" customWidth="1"/>
    <col min="22" max="24" width="8" customWidth="1"/>
    <col min="25" max="25" width="11.28515625" customWidth="1"/>
    <col min="26" max="26" width="8" customWidth="1"/>
    <col min="27" max="27" width="10.7109375" customWidth="1"/>
    <col min="28" max="28" width="8" customWidth="1"/>
    <col min="29" max="29" width="11.28515625" customWidth="1"/>
    <col min="30" max="32" width="8" customWidth="1"/>
    <col min="33" max="33" width="10.28515625" customWidth="1"/>
    <col min="34" max="34" width="8" customWidth="1"/>
    <col min="35" max="35" width="10.140625" customWidth="1"/>
    <col min="36" max="36" width="8" customWidth="1"/>
    <col min="37" max="37" width="10.7109375" customWidth="1"/>
    <col min="38" max="38" width="8" customWidth="1"/>
    <col min="39" max="39" width="12" customWidth="1"/>
  </cols>
  <sheetData>
    <row r="1" spans="1:39" ht="33" customHeight="1">
      <c r="B1" s="1236" t="s">
        <v>1138</v>
      </c>
      <c r="C1" s="1237"/>
      <c r="D1" s="1238"/>
      <c r="E1" s="1238"/>
      <c r="G1" s="13"/>
    </row>
    <row r="2" spans="1:39" ht="294" customHeight="1"/>
    <row r="3" spans="1:39" ht="19.5" customHeight="1">
      <c r="B3" s="1759" t="s">
        <v>1139</v>
      </c>
      <c r="C3" s="1660"/>
      <c r="D3" s="1660"/>
      <c r="E3" s="1660"/>
      <c r="F3" s="1660"/>
      <c r="G3" s="1660"/>
      <c r="H3" s="1660"/>
      <c r="I3" s="1660"/>
    </row>
    <row r="4" spans="1:39" ht="45.75" customHeight="1">
      <c r="A4" s="46"/>
      <c r="B4" s="1183" t="s">
        <v>77</v>
      </c>
      <c r="C4" s="1183" t="s">
        <v>86</v>
      </c>
      <c r="D4" s="1182"/>
      <c r="E4" s="1183" t="s">
        <v>1140</v>
      </c>
      <c r="F4" s="1240"/>
      <c r="G4" s="1183" t="s">
        <v>1141</v>
      </c>
      <c r="H4" s="1240"/>
      <c r="I4" s="1183" t="s">
        <v>1142</v>
      </c>
      <c r="J4" s="1240"/>
      <c r="K4" s="1183" t="s">
        <v>1143</v>
      </c>
      <c r="L4" s="1240"/>
      <c r="M4" s="1183" t="s">
        <v>1144</v>
      </c>
      <c r="N4" s="1240"/>
      <c r="O4" s="1183" t="s">
        <v>1145</v>
      </c>
      <c r="P4" s="1240"/>
      <c r="Q4" s="1183" t="s">
        <v>1146</v>
      </c>
      <c r="R4" s="1240"/>
      <c r="S4" s="1183" t="s">
        <v>1147</v>
      </c>
      <c r="T4" s="1183"/>
      <c r="U4" s="1183" t="s">
        <v>1148</v>
      </c>
      <c r="V4" s="1240"/>
      <c r="W4" s="1183" t="s">
        <v>1149</v>
      </c>
      <c r="X4" s="46"/>
      <c r="Y4" s="1183" t="s">
        <v>1150</v>
      </c>
      <c r="Z4" s="46"/>
      <c r="AA4" s="46"/>
      <c r="AB4" s="46"/>
      <c r="AC4" s="46"/>
      <c r="AD4" s="46"/>
      <c r="AE4" s="46"/>
      <c r="AF4" s="46"/>
      <c r="AG4" s="46"/>
      <c r="AH4" s="46"/>
      <c r="AI4" s="46"/>
      <c r="AJ4" s="46"/>
      <c r="AK4" s="46"/>
      <c r="AL4" s="46"/>
      <c r="AM4" s="46"/>
    </row>
    <row r="5" spans="1:39" ht="11.25" customHeight="1">
      <c r="A5" s="97"/>
      <c r="B5" s="1241">
        <v>2006</v>
      </c>
      <c r="C5" s="1242">
        <v>5602258</v>
      </c>
      <c r="D5" s="1241" t="s">
        <v>57</v>
      </c>
      <c r="E5" s="1243">
        <v>0.09</v>
      </c>
      <c r="F5" s="1241" t="s">
        <v>57</v>
      </c>
      <c r="G5" s="1244">
        <v>365</v>
      </c>
      <c r="H5" s="1241" t="s">
        <v>57</v>
      </c>
      <c r="I5" s="1245">
        <v>1E-3</v>
      </c>
      <c r="J5" s="1241" t="s">
        <v>57</v>
      </c>
      <c r="K5" s="1246">
        <v>0.6</v>
      </c>
      <c r="L5" s="1241" t="s">
        <v>57</v>
      </c>
      <c r="M5" s="1247">
        <v>0.16250000000000001</v>
      </c>
      <c r="N5" s="1241" t="s">
        <v>58</v>
      </c>
      <c r="O5" s="1246">
        <f>C5*$E$5*$G$5*$M$5*$K$5*$I$5</f>
        <v>17943.332091749999</v>
      </c>
      <c r="P5" s="1241" t="s">
        <v>57</v>
      </c>
      <c r="Q5" s="1242">
        <f>I30</f>
        <v>28</v>
      </c>
      <c r="R5" s="1241" t="s">
        <v>57</v>
      </c>
      <c r="S5" s="1248">
        <v>9.9999999999999995E-7</v>
      </c>
      <c r="T5" s="1241" t="s">
        <v>57</v>
      </c>
      <c r="U5" s="1246">
        <f>12/44</f>
        <v>0.27272727272727271</v>
      </c>
      <c r="V5" s="1241" t="s">
        <v>58</v>
      </c>
      <c r="W5" s="97">
        <f>O5*Q$5*S$5*U$5</f>
        <v>0.13702180870063635</v>
      </c>
      <c r="X5" s="1241" t="s">
        <v>58</v>
      </c>
      <c r="Y5" s="1249">
        <f>W5*44/12</f>
        <v>0.50241329856899997</v>
      </c>
      <c r="Z5" s="97"/>
      <c r="AA5" s="97"/>
      <c r="AB5" s="97"/>
      <c r="AC5" s="97"/>
      <c r="AD5" s="97"/>
      <c r="AE5" s="97"/>
      <c r="AF5" s="97"/>
      <c r="AG5" s="97"/>
      <c r="AH5" s="97"/>
      <c r="AI5" s="97"/>
      <c r="AJ5" s="97"/>
      <c r="AK5" s="97"/>
      <c r="AL5" s="97"/>
      <c r="AM5" s="97"/>
    </row>
    <row r="6" spans="1:39" ht="11.25" customHeight="1"/>
    <row r="7" spans="1:39" ht="19.5" customHeight="1">
      <c r="B7" s="1239" t="s">
        <v>1151</v>
      </c>
    </row>
    <row r="8" spans="1:39" ht="54.75" customHeight="1">
      <c r="B8" s="1183" t="s">
        <v>77</v>
      </c>
      <c r="C8" s="1183" t="s">
        <v>86</v>
      </c>
      <c r="D8" s="1214"/>
      <c r="E8" s="1183" t="s">
        <v>1152</v>
      </c>
      <c r="F8" s="1240"/>
      <c r="G8" s="1183" t="s">
        <v>1153</v>
      </c>
      <c r="H8" s="1240"/>
      <c r="I8" s="1183" t="s">
        <v>1154</v>
      </c>
      <c r="J8" s="1183"/>
      <c r="K8" s="1183" t="s">
        <v>1155</v>
      </c>
      <c r="L8" s="1240"/>
      <c r="M8" s="1183" t="s">
        <v>1156</v>
      </c>
      <c r="N8" s="1240"/>
      <c r="O8" s="1183" t="s">
        <v>1157</v>
      </c>
      <c r="P8" s="1183"/>
      <c r="Q8" s="1183" t="s">
        <v>1158</v>
      </c>
      <c r="R8" s="1240"/>
      <c r="S8" s="1183" t="s">
        <v>1149</v>
      </c>
      <c r="T8" s="46"/>
      <c r="U8" s="1183" t="s">
        <v>1150</v>
      </c>
      <c r="V8" s="46"/>
      <c r="W8" s="46"/>
      <c r="X8" s="46"/>
      <c r="Y8" s="46"/>
      <c r="Z8" s="46"/>
      <c r="AA8" s="46"/>
      <c r="AB8" s="46"/>
      <c r="AC8" s="46"/>
      <c r="AD8" s="46"/>
    </row>
    <row r="9" spans="1:39" ht="11.25" customHeight="1">
      <c r="A9" s="1250"/>
      <c r="B9" s="1241">
        <v>2006</v>
      </c>
      <c r="C9" s="1242">
        <v>5602258</v>
      </c>
      <c r="D9" s="1241" t="s">
        <v>57</v>
      </c>
      <c r="E9" s="1251">
        <v>0.79</v>
      </c>
      <c r="F9" s="1241" t="s">
        <v>57</v>
      </c>
      <c r="G9" s="1252">
        <v>4</v>
      </c>
      <c r="H9" s="1241" t="s">
        <v>57</v>
      </c>
      <c r="I9" s="1253">
        <v>9.9999999999999995E-7</v>
      </c>
      <c r="J9" s="1241" t="s">
        <v>58</v>
      </c>
      <c r="K9" s="1254">
        <f>C9*E9*G9*I9</f>
        <v>17.703135280000001</v>
      </c>
      <c r="L9" s="1241" t="s">
        <v>57</v>
      </c>
      <c r="M9" s="1242">
        <f>I31</f>
        <v>265</v>
      </c>
      <c r="N9" s="1241" t="s">
        <v>57</v>
      </c>
      <c r="O9" s="1248">
        <f>1/1000000</f>
        <v>9.9999999999999995E-7</v>
      </c>
      <c r="P9" s="1241" t="s">
        <v>57</v>
      </c>
      <c r="Q9" s="1246">
        <f>12/44</f>
        <v>0.27272727272727271</v>
      </c>
      <c r="R9" s="1241" t="s">
        <v>58</v>
      </c>
      <c r="S9" s="1249">
        <f>K9*M9*O9*Q9</f>
        <v>1.2794538679636366E-3</v>
      </c>
      <c r="T9" s="1241" t="s">
        <v>58</v>
      </c>
      <c r="U9" s="1249">
        <f>S9*44/12</f>
        <v>4.6913308492000007E-3</v>
      </c>
      <c r="V9" s="97"/>
      <c r="W9" s="97"/>
      <c r="X9" s="97"/>
      <c r="Y9" s="97"/>
      <c r="Z9" s="97"/>
      <c r="AA9" s="97"/>
      <c r="AB9" s="97"/>
      <c r="AC9" s="97"/>
      <c r="AD9" s="97"/>
      <c r="AE9" s="1250"/>
      <c r="AF9" s="1250"/>
      <c r="AG9" s="1250"/>
      <c r="AH9" s="1250"/>
      <c r="AI9" s="1250"/>
      <c r="AJ9" s="1250"/>
      <c r="AK9" s="1250"/>
      <c r="AL9" s="1250"/>
      <c r="AM9" s="1250"/>
    </row>
    <row r="10" spans="1:39" ht="11.25" customHeight="1">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row>
    <row r="11" spans="1:39" ht="19.5" customHeight="1">
      <c r="B11" s="1239" t="s">
        <v>1159</v>
      </c>
    </row>
    <row r="12" spans="1:39" ht="54.75" customHeight="1">
      <c r="B12" s="1183" t="s">
        <v>77</v>
      </c>
      <c r="C12" s="1255" t="s">
        <v>86</v>
      </c>
      <c r="D12" s="1125"/>
      <c r="E12" s="1255" t="s">
        <v>1160</v>
      </c>
      <c r="F12" s="1126"/>
      <c r="G12" s="1255" t="s">
        <v>1161</v>
      </c>
      <c r="H12" s="1126"/>
      <c r="I12" s="1255" t="s">
        <v>1162</v>
      </c>
      <c r="J12" s="1126"/>
      <c r="K12" s="1255" t="s">
        <v>1142</v>
      </c>
      <c r="L12" s="1255"/>
      <c r="M12" s="1255" t="s">
        <v>1163</v>
      </c>
      <c r="N12" s="1255"/>
      <c r="O12" s="1255" t="s">
        <v>1164</v>
      </c>
      <c r="P12" s="1125"/>
      <c r="Q12" s="1255" t="s">
        <v>1165</v>
      </c>
      <c r="R12" s="1255"/>
      <c r="S12" s="1255" t="s">
        <v>1166</v>
      </c>
      <c r="T12" s="1255"/>
      <c r="U12" s="1255" t="s">
        <v>1167</v>
      </c>
      <c r="V12" s="1126"/>
      <c r="W12" s="1255" t="s">
        <v>1168</v>
      </c>
      <c r="X12" s="1126"/>
      <c r="Y12" s="1255" t="s">
        <v>1169</v>
      </c>
      <c r="Z12" s="1126"/>
      <c r="AA12" s="1255" t="s">
        <v>1170</v>
      </c>
      <c r="AB12" s="1126"/>
      <c r="AC12" s="1255" t="s">
        <v>1147</v>
      </c>
      <c r="AD12" s="1255"/>
      <c r="AE12" s="1255" t="s">
        <v>1171</v>
      </c>
      <c r="AF12" s="1126"/>
      <c r="AG12" s="1255" t="s">
        <v>1172</v>
      </c>
      <c r="AH12" s="1255"/>
      <c r="AI12" s="1255" t="s">
        <v>1173</v>
      </c>
      <c r="AJ12" s="1255"/>
      <c r="AK12" s="1255" t="s">
        <v>1174</v>
      </c>
      <c r="AL12" s="1125"/>
      <c r="AM12" s="1255" t="s">
        <v>1175</v>
      </c>
    </row>
    <row r="13" spans="1:39" ht="11.25" customHeight="1">
      <c r="C13" s="1256"/>
      <c r="D13" s="1256"/>
      <c r="E13" s="1257"/>
      <c r="F13" s="1258"/>
      <c r="G13" s="1257"/>
      <c r="H13" s="1258"/>
      <c r="I13" s="1258"/>
      <c r="J13" s="1258"/>
      <c r="K13" s="1258"/>
      <c r="L13" s="1258"/>
      <c r="M13" s="1258"/>
      <c r="N13" s="1258"/>
      <c r="O13" s="1258"/>
      <c r="P13" s="1258"/>
      <c r="Q13" s="1258"/>
      <c r="R13" s="1258"/>
      <c r="S13" s="1258"/>
      <c r="T13" s="1258"/>
      <c r="U13" s="1257"/>
      <c r="V13" s="1258"/>
      <c r="W13" s="1258"/>
      <c r="X13" s="1258"/>
      <c r="Y13" s="1258"/>
      <c r="Z13" s="1258"/>
      <c r="AA13" s="1258"/>
      <c r="AB13" s="1258"/>
      <c r="AC13" s="1258" t="s">
        <v>1176</v>
      </c>
      <c r="AD13" s="1256"/>
      <c r="AE13" s="1256"/>
      <c r="AF13" s="1256"/>
      <c r="AG13" s="1258"/>
      <c r="AH13" s="1258"/>
      <c r="AI13" s="1258"/>
      <c r="AJ13" s="1258"/>
      <c r="AK13" s="1258"/>
      <c r="AL13" s="1256"/>
      <c r="AM13" s="1258"/>
    </row>
    <row r="14" spans="1:39" ht="11.25" customHeight="1">
      <c r="A14" s="97"/>
      <c r="B14" s="1241">
        <v>2006</v>
      </c>
      <c r="C14" s="1242">
        <v>5602258</v>
      </c>
      <c r="D14" s="1241" t="s">
        <v>57</v>
      </c>
      <c r="E14" s="1246">
        <v>41.9</v>
      </c>
      <c r="F14" s="1241" t="s">
        <v>57</v>
      </c>
      <c r="G14" s="1251">
        <v>0.16</v>
      </c>
      <c r="H14" s="1241" t="s">
        <v>57</v>
      </c>
      <c r="I14" s="1254">
        <v>1.75</v>
      </c>
      <c r="J14" s="1241" t="s">
        <v>57</v>
      </c>
      <c r="K14" s="1245">
        <v>1E-3</v>
      </c>
      <c r="L14" s="1241" t="s">
        <v>58</v>
      </c>
      <c r="M14" s="1242">
        <f>C14*E14*G14*I14*K14</f>
        <v>65725.690856000001</v>
      </c>
      <c r="N14" s="1259" t="s">
        <v>1105</v>
      </c>
      <c r="O14" s="1242">
        <v>11.265631541818182</v>
      </c>
      <c r="P14" s="1241" t="s">
        <v>58</v>
      </c>
      <c r="Q14" s="1242">
        <f>M14-O14</f>
        <v>65714.425224458188</v>
      </c>
      <c r="R14" s="1242" t="s">
        <v>57</v>
      </c>
      <c r="S14" s="1251">
        <v>0</v>
      </c>
      <c r="T14" s="1241" t="s">
        <v>57</v>
      </c>
      <c r="U14" s="1254">
        <v>5.0000000000000001E-3</v>
      </c>
      <c r="V14" s="1241" t="s">
        <v>57</v>
      </c>
      <c r="W14" s="1249">
        <f>44/28</f>
        <v>1.5714285714285714</v>
      </c>
      <c r="X14" s="1241" t="s">
        <v>58</v>
      </c>
      <c r="Y14" s="1246">
        <f>Q14*(1-S14)*U14*W14</f>
        <v>516.32762676360005</v>
      </c>
      <c r="Z14" s="1241" t="s">
        <v>57</v>
      </c>
      <c r="AA14" s="1242">
        <f>I31</f>
        <v>265</v>
      </c>
      <c r="AB14" s="1241" t="s">
        <v>57</v>
      </c>
      <c r="AC14" s="1248">
        <f>1/1000000</f>
        <v>9.9999999999999995E-7</v>
      </c>
      <c r="AD14" s="1241" t="s">
        <v>57</v>
      </c>
      <c r="AE14" s="1246">
        <f>12/44</f>
        <v>0.27272727272727271</v>
      </c>
      <c r="AF14" s="1241" t="s">
        <v>58</v>
      </c>
      <c r="AG14" s="1249">
        <f>Y14*AA$14*AC$14*AE$14</f>
        <v>3.7316405752460181E-2</v>
      </c>
      <c r="AH14" s="1260" t="s">
        <v>852</v>
      </c>
      <c r="AI14" s="1249">
        <f>0.00149671961912727*($I$31/310)</f>
        <v>1.279453867963634E-3</v>
      </c>
      <c r="AJ14" s="1260" t="s">
        <v>58</v>
      </c>
      <c r="AK14" s="1249">
        <f>AG14+AI14</f>
        <v>3.8595859620423813E-2</v>
      </c>
      <c r="AL14" s="1260" t="s">
        <v>58</v>
      </c>
      <c r="AM14" s="1261">
        <f>AK14/AE14</f>
        <v>0.14151815194155398</v>
      </c>
    </row>
    <row r="15" spans="1:39" ht="11.25" customHeight="1">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row>
    <row r="16" spans="1:39" ht="19.5" customHeight="1">
      <c r="B16" s="1239" t="s">
        <v>1177</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row>
    <row r="17" spans="1:39" ht="27.75" customHeight="1">
      <c r="B17" s="1183" t="s">
        <v>77</v>
      </c>
      <c r="C17" s="1255" t="s">
        <v>1178</v>
      </c>
      <c r="D17" s="1255"/>
      <c r="E17" s="1255" t="s">
        <v>1179</v>
      </c>
      <c r="F17" s="1126"/>
      <c r="G17" s="1255" t="s">
        <v>1180</v>
      </c>
      <c r="H17" s="1126"/>
      <c r="I17" s="1255" t="s">
        <v>1181</v>
      </c>
      <c r="J17" s="1126"/>
      <c r="K17" s="1255" t="s">
        <v>451</v>
      </c>
      <c r="L17" s="1126"/>
      <c r="M17" s="1255" t="s">
        <v>1182</v>
      </c>
      <c r="N17" s="1126"/>
      <c r="O17" s="1255" t="s">
        <v>95</v>
      </c>
      <c r="P17" s="1126"/>
      <c r="Q17" s="1255" t="s">
        <v>1180</v>
      </c>
      <c r="R17" s="1126"/>
      <c r="S17" s="1255" t="s">
        <v>95</v>
      </c>
      <c r="T17" s="1126"/>
      <c r="U17" s="1255" t="s">
        <v>1183</v>
      </c>
      <c r="V17" s="1255"/>
      <c r="W17" s="1255" t="s">
        <v>1184</v>
      </c>
      <c r="X17" s="1126"/>
      <c r="Y17" s="1255" t="s">
        <v>95</v>
      </c>
      <c r="Z17" s="1125"/>
      <c r="AA17" s="1255" t="s">
        <v>95</v>
      </c>
      <c r="AB17" s="46"/>
      <c r="AC17" s="46"/>
      <c r="AD17" s="46"/>
    </row>
    <row r="18" spans="1:39" ht="11.25" customHeight="1">
      <c r="C18" s="1256" t="s">
        <v>445</v>
      </c>
      <c r="D18" s="1125"/>
      <c r="E18" s="1256" t="s">
        <v>1185</v>
      </c>
      <c r="F18" s="1256"/>
      <c r="G18" s="1256" t="s">
        <v>1186</v>
      </c>
      <c r="H18" s="1256"/>
      <c r="I18" s="1256" t="s">
        <v>1187</v>
      </c>
      <c r="J18" s="1256"/>
      <c r="K18" s="1256" t="s">
        <v>1188</v>
      </c>
      <c r="L18" s="1256"/>
      <c r="M18" s="1256" t="s">
        <v>1189</v>
      </c>
      <c r="N18" s="1256"/>
      <c r="O18" s="1256" t="s">
        <v>1190</v>
      </c>
      <c r="P18" s="1256"/>
      <c r="Q18" s="1256" t="s">
        <v>1191</v>
      </c>
      <c r="R18" s="1256"/>
      <c r="S18" s="1256" t="s">
        <v>1192</v>
      </c>
      <c r="T18" s="1256"/>
      <c r="U18" s="1256" t="s">
        <v>1193</v>
      </c>
      <c r="V18" s="1256"/>
      <c r="W18" s="1256"/>
      <c r="X18" s="1256"/>
      <c r="Y18" s="1256" t="s">
        <v>688</v>
      </c>
      <c r="Z18" s="1125"/>
      <c r="AA18" s="1256" t="s">
        <v>1194</v>
      </c>
      <c r="AB18" s="46"/>
      <c r="AC18" s="46"/>
      <c r="AD18" s="46"/>
    </row>
    <row r="19" spans="1:39" ht="11.25" customHeight="1">
      <c r="A19" s="97"/>
      <c r="B19" s="1241">
        <v>2006</v>
      </c>
      <c r="C19" s="1246">
        <v>8935.92</v>
      </c>
      <c r="D19" s="1241" t="s">
        <v>57</v>
      </c>
      <c r="E19" s="1244">
        <v>7.9</v>
      </c>
      <c r="F19" s="1241" t="s">
        <v>57</v>
      </c>
      <c r="G19" s="1242">
        <v>1000</v>
      </c>
      <c r="H19" s="1241" t="s">
        <v>57</v>
      </c>
      <c r="I19" s="1262">
        <v>4.0999999999999996</v>
      </c>
      <c r="J19" s="1241" t="s">
        <v>57</v>
      </c>
      <c r="K19" s="1246">
        <v>0.25</v>
      </c>
      <c r="L19" s="1241" t="s">
        <v>57</v>
      </c>
      <c r="M19" s="1251">
        <v>0.33</v>
      </c>
      <c r="N19" s="1241" t="s">
        <v>58</v>
      </c>
      <c r="O19" s="1263">
        <f>C19*$E$19*$I$19*$M$19*$K$19*$G$19</f>
        <v>23878342.026000001</v>
      </c>
      <c r="P19" s="1241" t="s">
        <v>57</v>
      </c>
      <c r="Q19" s="1264">
        <v>9.9999999999999998E-13</v>
      </c>
      <c r="R19" s="1241" t="s">
        <v>58</v>
      </c>
      <c r="S19" s="1246">
        <f>O19*Q19</f>
        <v>2.3878342026000001E-5</v>
      </c>
      <c r="T19" s="1241" t="s">
        <v>57</v>
      </c>
      <c r="U19" s="1242">
        <f>I30</f>
        <v>28</v>
      </c>
      <c r="V19" s="1241" t="s">
        <v>57</v>
      </c>
      <c r="W19" s="1246">
        <f>12/44</f>
        <v>0.27272727272727271</v>
      </c>
      <c r="X19" s="1241" t="s">
        <v>58</v>
      </c>
      <c r="Y19" s="1249">
        <f>S19*U$19*W$19</f>
        <v>1.8234370274400002E-4</v>
      </c>
      <c r="Z19" s="1241" t="s">
        <v>58</v>
      </c>
      <c r="AA19" s="1265">
        <f>Y19*44/12</f>
        <v>6.6859357672799998E-4</v>
      </c>
      <c r="AB19" s="46"/>
      <c r="AC19" s="46"/>
      <c r="AD19" s="46"/>
      <c r="AE19" s="14"/>
      <c r="AF19" s="14"/>
      <c r="AG19" s="14"/>
      <c r="AH19" s="14"/>
      <c r="AI19" s="14"/>
      <c r="AJ19" s="14"/>
      <c r="AK19" s="14"/>
      <c r="AL19" s="14"/>
      <c r="AM19" s="14"/>
    </row>
    <row r="20" spans="1:39" ht="11.25" customHeight="1">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row>
    <row r="21" spans="1:39" ht="11.25" customHeight="1">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row>
    <row r="22" spans="1:39" ht="11.25" customHeight="1">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row>
    <row r="23" spans="1:39" ht="11.25" customHeight="1">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row>
    <row r="24" spans="1:39" ht="11.25" customHeight="1"/>
    <row r="25" spans="1:39" ht="12.75" customHeight="1">
      <c r="B25" s="1760" t="s">
        <v>1195</v>
      </c>
      <c r="C25" s="1660"/>
      <c r="D25" s="1660"/>
      <c r="E25" s="1660"/>
      <c r="F25" s="1660"/>
      <c r="G25" s="1660"/>
      <c r="H25" s="1660"/>
      <c r="I25" s="1660"/>
      <c r="J25" s="1660"/>
      <c r="K25" s="1660"/>
      <c r="L25" s="1660"/>
      <c r="M25" s="1660"/>
      <c r="N25" s="1660"/>
    </row>
    <row r="26" spans="1:39" ht="11.25" customHeight="1"/>
    <row r="27" spans="1:39" ht="15" customHeight="1">
      <c r="B27" s="1266" t="s">
        <v>1132</v>
      </c>
      <c r="C27" s="1266">
        <v>2006</v>
      </c>
      <c r="H27" s="1663" t="s">
        <v>1</v>
      </c>
      <c r="I27" s="1664"/>
    </row>
    <row r="28" spans="1:39" ht="12.75" customHeight="1">
      <c r="B28" s="59" t="s">
        <v>1196</v>
      </c>
      <c r="C28" s="1267">
        <f>Y5</f>
        <v>0.50241329856899997</v>
      </c>
      <c r="D28" s="1268"/>
      <c r="H28" s="25"/>
      <c r="I28" s="25"/>
    </row>
    <row r="29" spans="1:39" ht="12.75" customHeight="1">
      <c r="B29" s="59" t="s">
        <v>1197</v>
      </c>
      <c r="C29" s="1269">
        <f>AM14</f>
        <v>0.14151815194155398</v>
      </c>
      <c r="D29" s="1268"/>
      <c r="H29" s="26" t="s">
        <v>60</v>
      </c>
      <c r="I29" s="27">
        <f>Summary!$E4</f>
        <v>1</v>
      </c>
    </row>
    <row r="30" spans="1:39" ht="12.75" customHeight="1">
      <c r="B30" s="59" t="s">
        <v>1198</v>
      </c>
      <c r="C30" s="1267">
        <f>SUM(C31:C34)</f>
        <v>6.6859357672799998E-4</v>
      </c>
      <c r="D30" s="1268"/>
      <c r="H30" s="26" t="s">
        <v>62</v>
      </c>
      <c r="I30" s="27">
        <f>Summary!$E5</f>
        <v>28</v>
      </c>
    </row>
    <row r="31" spans="1:39" ht="12.75" customHeight="1">
      <c r="B31" s="1270" t="s">
        <v>1199</v>
      </c>
      <c r="C31" s="1267">
        <v>0</v>
      </c>
      <c r="D31" s="1268"/>
      <c r="H31" s="26" t="s">
        <v>63</v>
      </c>
      <c r="I31" s="27">
        <f>Summary!$E6</f>
        <v>265</v>
      </c>
    </row>
    <row r="32" spans="1:39" ht="12.75" customHeight="1">
      <c r="B32" s="1270" t="s">
        <v>1200</v>
      </c>
      <c r="C32" s="1267">
        <f>AA19</f>
        <v>6.6859357672799998E-4</v>
      </c>
      <c r="D32" s="1268"/>
      <c r="H32" s="26" t="s">
        <v>65</v>
      </c>
      <c r="I32" s="29">
        <f>Summary!$E7</f>
        <v>23500</v>
      </c>
    </row>
    <row r="33" spans="2:19" ht="12.75" customHeight="1">
      <c r="B33" s="1270" t="s">
        <v>1201</v>
      </c>
      <c r="C33" s="1267">
        <v>0</v>
      </c>
      <c r="D33" s="1268"/>
      <c r="H33" s="26"/>
      <c r="I33" s="29"/>
    </row>
    <row r="34" spans="2:19" ht="13.5" customHeight="1">
      <c r="B34" s="1270" t="s">
        <v>1202</v>
      </c>
      <c r="C34" s="1267">
        <v>0</v>
      </c>
      <c r="D34" s="1268"/>
    </row>
    <row r="35" spans="2:19" ht="15" customHeight="1">
      <c r="B35" s="1271" t="s">
        <v>115</v>
      </c>
      <c r="C35" s="1272">
        <f>SUM(C28:C30)</f>
        <v>0.644600044087282</v>
      </c>
      <c r="D35" s="1268"/>
    </row>
    <row r="36" spans="2:19" ht="11.25" customHeight="1">
      <c r="S36" s="1273">
        <f>SUM(C28:C30)</f>
        <v>0.644600044087282</v>
      </c>
    </row>
    <row r="37" spans="2:19" ht="11.25" customHeight="1"/>
    <row r="38" spans="2:19" ht="11.25" customHeight="1"/>
    <row r="39" spans="2:19" ht="11.25" customHeight="1"/>
    <row r="40" spans="2:19" ht="11.25" customHeight="1"/>
    <row r="41" spans="2:19" ht="11.25" customHeight="1"/>
    <row r="42" spans="2:19" ht="11.25" customHeight="1"/>
    <row r="43" spans="2:19" ht="11.25" customHeight="1"/>
    <row r="44" spans="2:19" ht="11.25" customHeight="1"/>
    <row r="45" spans="2:19" ht="11.25" customHeight="1"/>
    <row r="46" spans="2:19" ht="11.25" customHeight="1"/>
    <row r="47" spans="2:19" ht="11.25" customHeight="1"/>
    <row r="48" spans="2:19"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3:I3"/>
    <mergeCell ref="B25:N25"/>
    <mergeCell ref="H27:I27"/>
  </mergeCells>
  <conditionalFormatting sqref="B25:N25">
    <cfRule type="cellIs" dxfId="1" priority="1" operator="equal">
      <formula>0</formula>
    </cfRule>
  </conditionalFormatting>
  <conditionalFormatting sqref="B25:N25">
    <cfRule type="cellIs" dxfId="0" priority="2" operator="notEqual">
      <formula>0</formula>
    </cfRule>
  </conditionalFormatting>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6.85546875" defaultRowHeight="15" customHeight="1"/>
  <cols>
    <col min="1" max="1" width="8" customWidth="1"/>
    <col min="2" max="2" width="16.140625" customWidth="1"/>
    <col min="3" max="3" width="37.140625" customWidth="1"/>
    <col min="4" max="4" width="32.42578125" customWidth="1"/>
    <col min="5" max="5" width="17.7109375" customWidth="1"/>
    <col min="6" max="6" width="20.42578125" customWidth="1"/>
    <col min="7" max="7" width="19.140625" customWidth="1"/>
    <col min="8" max="8" width="19.28515625" customWidth="1"/>
    <col min="9" max="9" width="19.85546875" customWidth="1"/>
    <col min="10" max="10" width="22.28515625" customWidth="1"/>
    <col min="11" max="11" width="26.7109375" customWidth="1"/>
    <col min="12" max="26" width="8" customWidth="1"/>
  </cols>
  <sheetData>
    <row r="1" spans="1:26" ht="33" customHeight="1">
      <c r="A1" s="17" t="s">
        <v>232</v>
      </c>
      <c r="B1" s="171"/>
      <c r="C1" s="1"/>
      <c r="D1" s="1"/>
      <c r="E1" s="1"/>
      <c r="F1" s="13"/>
      <c r="G1" s="1"/>
      <c r="H1" s="1"/>
      <c r="I1" s="1"/>
      <c r="J1" s="1"/>
      <c r="K1" s="1"/>
      <c r="L1" s="1"/>
      <c r="M1" s="1"/>
      <c r="N1" s="1"/>
      <c r="O1" s="1"/>
      <c r="P1" s="1"/>
      <c r="Q1" s="1"/>
      <c r="R1" s="1"/>
      <c r="S1" s="1"/>
      <c r="T1" s="1"/>
      <c r="U1" s="1"/>
      <c r="V1" s="1"/>
      <c r="W1" s="1"/>
      <c r="X1" s="1"/>
      <c r="Y1" s="1"/>
      <c r="Z1" s="1"/>
    </row>
    <row r="2" spans="1:26" ht="140.25" customHeight="1"/>
    <row r="3" spans="1:26" ht="21" customHeight="1">
      <c r="B3" s="172" t="s">
        <v>233</v>
      </c>
    </row>
    <row r="4" spans="1:26" ht="13.5" customHeight="1">
      <c r="G4" s="173" t="s">
        <v>234</v>
      </c>
      <c r="L4" s="14"/>
    </row>
    <row r="5" spans="1:26" ht="14.25" customHeight="1">
      <c r="B5" s="174"/>
      <c r="C5" s="175"/>
      <c r="D5" s="174"/>
      <c r="E5" s="176"/>
      <c r="F5" s="176"/>
      <c r="G5" s="177"/>
      <c r="H5" s="177"/>
      <c r="I5" s="176"/>
      <c r="J5" s="176"/>
      <c r="K5" s="175"/>
      <c r="L5" s="14"/>
    </row>
    <row r="6" spans="1:26" ht="12.75" customHeight="1">
      <c r="B6" s="178"/>
      <c r="C6" s="179"/>
      <c r="D6" s="179"/>
      <c r="E6" s="179"/>
      <c r="F6" s="179"/>
      <c r="G6" s="180"/>
      <c r="H6" s="180"/>
      <c r="I6" s="179"/>
      <c r="J6" s="179"/>
      <c r="K6" s="181"/>
      <c r="L6" s="14"/>
    </row>
    <row r="7" spans="1:26" ht="14.25" customHeight="1">
      <c r="B7" s="182" t="s">
        <v>235</v>
      </c>
      <c r="C7" s="14" t="s">
        <v>236</v>
      </c>
      <c r="D7" s="14" t="s">
        <v>237</v>
      </c>
      <c r="E7" s="14" t="s">
        <v>238</v>
      </c>
      <c r="F7" s="183" t="s">
        <v>239</v>
      </c>
      <c r="G7" s="14" t="s">
        <v>240</v>
      </c>
      <c r="H7" s="14" t="s">
        <v>241</v>
      </c>
      <c r="I7" s="184" t="s">
        <v>242</v>
      </c>
      <c r="J7" s="185" t="s">
        <v>242</v>
      </c>
      <c r="K7" s="186" t="s">
        <v>243</v>
      </c>
      <c r="L7" s="187"/>
    </row>
    <row r="8" spans="1:26" ht="12.75" customHeight="1">
      <c r="B8" s="182"/>
      <c r="C8" s="14"/>
      <c r="D8" s="14"/>
      <c r="E8" s="14"/>
      <c r="F8" s="183" t="s">
        <v>244</v>
      </c>
      <c r="G8" s="14"/>
      <c r="H8" s="14" t="s">
        <v>245</v>
      </c>
      <c r="I8" s="183" t="s">
        <v>246</v>
      </c>
      <c r="J8" s="188" t="s">
        <v>246</v>
      </c>
      <c r="K8" s="189" t="s">
        <v>244</v>
      </c>
      <c r="L8" s="190"/>
    </row>
    <row r="9" spans="1:26" ht="13.5" customHeight="1">
      <c r="B9" s="191"/>
      <c r="C9" s="16"/>
      <c r="D9" s="16"/>
      <c r="E9" s="16"/>
      <c r="F9" s="16"/>
      <c r="G9" s="16"/>
      <c r="H9" s="16"/>
      <c r="I9" s="192" t="s">
        <v>247</v>
      </c>
      <c r="J9" s="193" t="s">
        <v>248</v>
      </c>
      <c r="K9" s="194" t="s">
        <v>248</v>
      </c>
      <c r="L9" s="14"/>
    </row>
    <row r="10" spans="1:26" ht="12.75" customHeight="1">
      <c r="B10" s="182"/>
      <c r="C10" s="14"/>
      <c r="D10" s="14"/>
      <c r="E10" s="14"/>
      <c r="F10" s="14"/>
      <c r="G10" s="14"/>
      <c r="H10" s="14"/>
      <c r="I10" s="183"/>
      <c r="J10" s="188"/>
      <c r="K10" s="195"/>
      <c r="L10" s="14"/>
    </row>
    <row r="11" spans="1:26" ht="12.75" customHeight="1">
      <c r="B11" s="182" t="s">
        <v>249</v>
      </c>
      <c r="C11" s="187" t="s">
        <v>250</v>
      </c>
      <c r="D11" s="14"/>
      <c r="E11" s="14"/>
      <c r="F11" s="196"/>
      <c r="G11" s="14"/>
      <c r="H11" s="14"/>
      <c r="I11" s="14"/>
      <c r="J11" s="14"/>
      <c r="K11" s="197"/>
      <c r="L11" s="14"/>
    </row>
    <row r="12" spans="1:26" ht="12.75" customHeight="1">
      <c r="B12" s="182"/>
      <c r="C12" s="14" t="s">
        <v>251</v>
      </c>
      <c r="D12" s="198" t="s">
        <v>252</v>
      </c>
      <c r="E12" s="14" t="s">
        <v>253</v>
      </c>
      <c r="F12" s="196">
        <v>637044</v>
      </c>
      <c r="G12" s="196">
        <v>11356</v>
      </c>
      <c r="H12" s="14" t="s">
        <v>254</v>
      </c>
      <c r="I12" s="196">
        <f>F12*G12*2000/1000000</f>
        <v>14468543.328</v>
      </c>
      <c r="J12" s="199">
        <v>14751582</v>
      </c>
      <c r="K12" s="200">
        <v>1546789</v>
      </c>
      <c r="L12" s="201"/>
    </row>
    <row r="13" spans="1:26" ht="12.75" customHeight="1">
      <c r="B13" s="182"/>
      <c r="C13" s="14"/>
      <c r="D13" s="14"/>
      <c r="E13" s="14"/>
      <c r="F13" s="196"/>
      <c r="G13" s="196"/>
      <c r="H13" s="14"/>
      <c r="I13" s="202"/>
      <c r="J13" s="202"/>
      <c r="K13" s="203"/>
      <c r="L13" s="201"/>
    </row>
    <row r="14" spans="1:26" ht="12.75" customHeight="1">
      <c r="B14" s="204" t="s">
        <v>255</v>
      </c>
      <c r="C14" s="187" t="s">
        <v>256</v>
      </c>
      <c r="D14" s="14"/>
      <c r="E14" s="14"/>
      <c r="F14" s="196"/>
      <c r="G14" s="196"/>
      <c r="H14" s="14"/>
      <c r="I14" s="14"/>
      <c r="J14" s="14"/>
      <c r="K14" s="197"/>
      <c r="L14" s="201"/>
    </row>
    <row r="15" spans="1:26" ht="12.75" customHeight="1">
      <c r="B15" s="182"/>
      <c r="C15" s="14"/>
      <c r="D15" s="205" t="s">
        <v>257</v>
      </c>
      <c r="E15" s="14" t="s">
        <v>258</v>
      </c>
      <c r="F15" s="196">
        <v>1905266</v>
      </c>
      <c r="G15" s="196">
        <v>11356</v>
      </c>
      <c r="H15" s="14" t="s">
        <v>254</v>
      </c>
      <c r="I15" s="196">
        <f t="shared" ref="I15:I16" si="0">(F15*G15*2000)/1000000</f>
        <v>43272401.391999997</v>
      </c>
      <c r="J15" s="206">
        <v>39865596</v>
      </c>
      <c r="K15" s="207">
        <v>4090213.4</v>
      </c>
      <c r="L15" s="201"/>
    </row>
    <row r="16" spans="1:26" ht="12.75" customHeight="1">
      <c r="B16" s="182"/>
      <c r="C16" s="14"/>
      <c r="D16" s="205" t="s">
        <v>259</v>
      </c>
      <c r="E16" s="14" t="s">
        <v>258</v>
      </c>
      <c r="F16" s="196">
        <v>1676361</v>
      </c>
      <c r="G16" s="196">
        <v>11356</v>
      </c>
      <c r="H16" s="14" t="s">
        <v>254</v>
      </c>
      <c r="I16" s="196">
        <f t="shared" si="0"/>
        <v>38073511.031999998</v>
      </c>
      <c r="J16" s="206">
        <v>39027527</v>
      </c>
      <c r="K16" s="207">
        <v>4004228.7</v>
      </c>
      <c r="L16" s="201"/>
    </row>
    <row r="17" spans="2:12" ht="12.75" customHeight="1">
      <c r="B17" s="182"/>
      <c r="C17" s="14"/>
      <c r="D17" s="183"/>
      <c r="E17" s="14"/>
      <c r="F17" s="208">
        <f>SUM(F15:F16)</f>
        <v>3581627</v>
      </c>
      <c r="G17" s="196"/>
      <c r="H17" s="14"/>
      <c r="I17" s="202"/>
      <c r="J17" s="208">
        <f t="shared" ref="J17:K17" si="1">SUM(J15:J16)</f>
        <v>78893123</v>
      </c>
      <c r="K17" s="209">
        <f t="shared" si="1"/>
        <v>8094442.0999999996</v>
      </c>
      <c r="L17" s="201"/>
    </row>
    <row r="18" spans="2:12" ht="11.25" customHeight="1">
      <c r="B18" s="182"/>
      <c r="C18" s="14"/>
      <c r="D18" s="183"/>
      <c r="E18" s="14"/>
      <c r="F18" s="196"/>
      <c r="G18" s="196"/>
      <c r="H18" s="14"/>
      <c r="I18" s="14"/>
      <c r="J18" s="14"/>
      <c r="K18" s="197"/>
      <c r="L18" s="201"/>
    </row>
    <row r="19" spans="2:12" ht="12.75" customHeight="1">
      <c r="B19" s="204" t="s">
        <v>260</v>
      </c>
      <c r="C19" s="187" t="s">
        <v>261</v>
      </c>
      <c r="D19" s="183"/>
      <c r="E19" s="14"/>
      <c r="F19" s="196"/>
      <c r="G19" s="196"/>
      <c r="H19" s="14"/>
      <c r="I19" s="14"/>
      <c r="J19" s="14"/>
      <c r="K19" s="197"/>
      <c r="L19" s="201"/>
    </row>
    <row r="20" spans="2:12" ht="12.75" customHeight="1">
      <c r="B20" s="182"/>
      <c r="C20" s="14" t="s">
        <v>262</v>
      </c>
      <c r="D20" s="205" t="s">
        <v>263</v>
      </c>
      <c r="E20" s="14" t="s">
        <v>258</v>
      </c>
      <c r="F20" s="196">
        <v>404552</v>
      </c>
      <c r="G20" s="196">
        <v>11356</v>
      </c>
      <c r="H20" s="14" t="s">
        <v>254</v>
      </c>
      <c r="I20" s="196">
        <f t="shared" ref="I20:I21" si="2">(F20*G20*2000)/1000000</f>
        <v>9188185.0240000002</v>
      </c>
      <c r="J20" s="206">
        <v>10825025</v>
      </c>
      <c r="K20" s="207">
        <v>1110643.8</v>
      </c>
      <c r="L20" s="201"/>
    </row>
    <row r="21" spans="2:12" ht="12.75" customHeight="1">
      <c r="B21" s="182"/>
      <c r="C21" s="14" t="s">
        <v>264</v>
      </c>
      <c r="D21" s="205" t="s">
        <v>265</v>
      </c>
      <c r="E21" s="14" t="s">
        <v>258</v>
      </c>
      <c r="F21" s="196">
        <v>369913</v>
      </c>
      <c r="G21" s="196">
        <v>11356</v>
      </c>
      <c r="H21" s="14" t="s">
        <v>254</v>
      </c>
      <c r="I21" s="196">
        <f t="shared" si="2"/>
        <v>8401464.0559999999</v>
      </c>
      <c r="J21" s="206">
        <v>9519110</v>
      </c>
      <c r="K21" s="207">
        <v>976658.5</v>
      </c>
      <c r="L21" s="201"/>
    </row>
    <row r="22" spans="2:12" ht="12.75" customHeight="1">
      <c r="B22" s="182"/>
      <c r="C22" s="14"/>
      <c r="D22" s="183"/>
      <c r="E22" s="14"/>
      <c r="F22" s="208">
        <f>SUM(F20:F21)</f>
        <v>774465</v>
      </c>
      <c r="G22" s="196"/>
      <c r="H22" s="14"/>
      <c r="I22" s="196"/>
      <c r="J22" s="208">
        <f t="shared" ref="J22:K22" si="3">SUM(J20:J21)</f>
        <v>20344135</v>
      </c>
      <c r="K22" s="209">
        <f t="shared" si="3"/>
        <v>2087302.3</v>
      </c>
      <c r="L22" s="201"/>
    </row>
    <row r="23" spans="2:12" ht="12.75" customHeight="1">
      <c r="B23" s="204" t="s">
        <v>266</v>
      </c>
      <c r="C23" s="187" t="s">
        <v>267</v>
      </c>
      <c r="D23" s="14"/>
      <c r="E23" s="14"/>
      <c r="F23" s="196"/>
      <c r="G23" s="196"/>
      <c r="H23" s="14"/>
      <c r="I23" s="202"/>
      <c r="J23" s="202"/>
      <c r="K23" s="203"/>
      <c r="L23" s="201"/>
    </row>
    <row r="24" spans="2:12" ht="12.75" customHeight="1">
      <c r="B24" s="182"/>
      <c r="C24" s="14" t="s">
        <v>268</v>
      </c>
      <c r="D24" s="205" t="s">
        <v>257</v>
      </c>
      <c r="E24" s="14" t="s">
        <v>253</v>
      </c>
      <c r="F24" s="196">
        <v>726410</v>
      </c>
      <c r="G24" s="196">
        <v>12810</v>
      </c>
      <c r="H24" s="14" t="s">
        <v>269</v>
      </c>
      <c r="I24" s="196">
        <f t="shared" ref="I24:I25" si="4">(F24*G24*2000)/1000000</f>
        <v>18610624.199999999</v>
      </c>
      <c r="J24" s="206">
        <v>19830382</v>
      </c>
      <c r="K24" s="207">
        <v>2031754</v>
      </c>
      <c r="L24" s="201"/>
    </row>
    <row r="25" spans="2:12" ht="12.75" customHeight="1">
      <c r="B25" s="182"/>
      <c r="C25" s="14" t="s">
        <v>270</v>
      </c>
      <c r="D25" s="205" t="s">
        <v>259</v>
      </c>
      <c r="E25" s="14" t="s">
        <v>253</v>
      </c>
      <c r="F25" s="196">
        <v>780539</v>
      </c>
      <c r="G25" s="196">
        <v>12802</v>
      </c>
      <c r="H25" s="14" t="s">
        <v>269</v>
      </c>
      <c r="I25" s="196">
        <f t="shared" si="4"/>
        <v>19984920.556000002</v>
      </c>
      <c r="J25" s="206">
        <v>21186709</v>
      </c>
      <c r="K25" s="207">
        <v>2170183</v>
      </c>
      <c r="L25" s="201"/>
    </row>
    <row r="26" spans="2:12" ht="12.75" customHeight="1">
      <c r="B26" s="182"/>
      <c r="C26" s="14"/>
      <c r="D26" s="14"/>
      <c r="E26" s="14"/>
      <c r="F26" s="196"/>
      <c r="G26" s="196"/>
      <c r="H26" s="14"/>
      <c r="I26" s="196"/>
      <c r="J26" s="208">
        <f t="shared" ref="J26:K26" si="5">SUM(J24:J25)</f>
        <v>41017091</v>
      </c>
      <c r="K26" s="209">
        <f t="shared" si="5"/>
        <v>4201937</v>
      </c>
      <c r="L26" s="201"/>
    </row>
    <row r="27" spans="2:12" ht="12.75" customHeight="1">
      <c r="B27" s="204" t="s">
        <v>271</v>
      </c>
      <c r="C27" s="187" t="s">
        <v>272</v>
      </c>
      <c r="D27" s="14"/>
      <c r="E27" s="14"/>
      <c r="F27" s="196"/>
      <c r="G27" s="196"/>
      <c r="H27" s="14"/>
      <c r="I27" s="196"/>
      <c r="J27" s="196"/>
      <c r="K27" s="210"/>
      <c r="L27" s="201"/>
    </row>
    <row r="28" spans="2:12" ht="12.75" customHeight="1">
      <c r="B28" s="182"/>
      <c r="C28" s="14" t="s">
        <v>273</v>
      </c>
      <c r="D28" s="205" t="s">
        <v>259</v>
      </c>
      <c r="E28" s="14" t="s">
        <v>258</v>
      </c>
      <c r="F28" s="196">
        <v>301760</v>
      </c>
      <c r="G28" s="196">
        <v>24</v>
      </c>
      <c r="H28" s="14" t="s">
        <v>274</v>
      </c>
      <c r="I28" s="196">
        <f t="shared" ref="I28:I29" si="6">(F28*G28)</f>
        <v>7242240</v>
      </c>
      <c r="J28" s="206">
        <v>8755729</v>
      </c>
      <c r="K28" s="207">
        <v>898338.2</v>
      </c>
      <c r="L28" s="201"/>
    </row>
    <row r="29" spans="2:12" ht="12.75" customHeight="1">
      <c r="B29" s="182"/>
      <c r="C29" s="14" t="s">
        <v>275</v>
      </c>
      <c r="D29" s="205" t="s">
        <v>276</v>
      </c>
      <c r="E29" s="14" t="s">
        <v>258</v>
      </c>
      <c r="F29" s="196">
        <v>735196</v>
      </c>
      <c r="G29" s="196">
        <v>24</v>
      </c>
      <c r="H29" s="14" t="s">
        <v>274</v>
      </c>
      <c r="I29" s="196">
        <f t="shared" si="6"/>
        <v>17644704</v>
      </c>
      <c r="J29" s="206">
        <v>18039441</v>
      </c>
      <c r="K29" s="207">
        <v>1850845.3</v>
      </c>
      <c r="L29" s="201"/>
    </row>
    <row r="30" spans="2:12" ht="12.75" customHeight="1">
      <c r="B30" s="182"/>
      <c r="C30" s="14"/>
      <c r="D30" s="183"/>
      <c r="E30" s="14"/>
      <c r="F30" s="208">
        <f>SUM(F28:F29)</f>
        <v>1036956</v>
      </c>
      <c r="G30" s="196"/>
      <c r="H30" s="14"/>
      <c r="I30" s="196"/>
      <c r="J30" s="208">
        <f t="shared" ref="J30:K30" si="7">SUM(J28:J29)</f>
        <v>26795170</v>
      </c>
      <c r="K30" s="209">
        <f t="shared" si="7"/>
        <v>2749183.5</v>
      </c>
      <c r="L30" s="201"/>
    </row>
    <row r="31" spans="2:12" ht="12.75" customHeight="1">
      <c r="B31" s="204" t="s">
        <v>277</v>
      </c>
      <c r="C31" s="187" t="s">
        <v>278</v>
      </c>
      <c r="D31" s="183"/>
      <c r="E31" s="14"/>
      <c r="F31" s="196"/>
      <c r="G31" s="196"/>
      <c r="H31" s="14"/>
      <c r="I31" s="14"/>
      <c r="J31" s="14"/>
      <c r="K31" s="197"/>
      <c r="L31" s="201"/>
    </row>
    <row r="32" spans="2:12" ht="12.75" customHeight="1">
      <c r="B32" s="182"/>
      <c r="C32" s="14" t="s">
        <v>279</v>
      </c>
      <c r="D32" s="205" t="s">
        <v>280</v>
      </c>
      <c r="E32" s="14" t="s">
        <v>253</v>
      </c>
      <c r="F32" s="196">
        <v>53689.5</v>
      </c>
      <c r="G32" s="196">
        <v>11736</v>
      </c>
      <c r="H32" s="14" t="s">
        <v>254</v>
      </c>
      <c r="I32" s="196">
        <f t="shared" ref="I32:I33" si="8">(F32*G32*2000)/1000000</f>
        <v>1260199.9439999999</v>
      </c>
      <c r="J32" s="206">
        <v>1260200</v>
      </c>
      <c r="K32" s="207">
        <v>129294</v>
      </c>
      <c r="L32" s="201"/>
    </row>
    <row r="33" spans="2:12" ht="12.75" customHeight="1">
      <c r="B33" s="182"/>
      <c r="C33" s="14" t="s">
        <v>281</v>
      </c>
      <c r="D33" s="205" t="s">
        <v>282</v>
      </c>
      <c r="E33" s="14" t="s">
        <v>253</v>
      </c>
      <c r="F33" s="196">
        <v>201790.9</v>
      </c>
      <c r="G33" s="196">
        <v>11736</v>
      </c>
      <c r="H33" s="14" t="s">
        <v>254</v>
      </c>
      <c r="I33" s="196">
        <f t="shared" si="8"/>
        <v>4736436.0048000002</v>
      </c>
      <c r="J33" s="206">
        <v>4736436</v>
      </c>
      <c r="K33" s="207">
        <v>485957</v>
      </c>
      <c r="L33" s="201"/>
    </row>
    <row r="34" spans="2:12" ht="12.75" customHeight="1">
      <c r="B34" s="182"/>
      <c r="C34" s="14"/>
      <c r="D34" s="14"/>
      <c r="E34" s="14"/>
      <c r="F34" s="208">
        <f>SUM(F32:F33)</f>
        <v>255480.4</v>
      </c>
      <c r="G34" s="196"/>
      <c r="H34" s="14"/>
      <c r="I34" s="196"/>
      <c r="J34" s="208">
        <f t="shared" ref="J34:K34" si="9">SUM(J32:J33)</f>
        <v>5996636</v>
      </c>
      <c r="K34" s="209">
        <f t="shared" si="9"/>
        <v>615251</v>
      </c>
      <c r="L34" s="201"/>
    </row>
    <row r="35" spans="2:12" ht="12.75" customHeight="1">
      <c r="B35" s="204" t="s">
        <v>283</v>
      </c>
      <c r="C35" s="211" t="s">
        <v>284</v>
      </c>
      <c r="D35" s="14"/>
      <c r="E35" s="14"/>
      <c r="F35" s="196"/>
      <c r="G35" s="196"/>
      <c r="H35" s="14"/>
      <c r="I35" s="14"/>
      <c r="J35" s="14"/>
      <c r="K35" s="197"/>
      <c r="L35" s="201"/>
    </row>
    <row r="36" spans="2:12" ht="12.75" customHeight="1">
      <c r="B36" s="182"/>
      <c r="C36" s="14" t="s">
        <v>285</v>
      </c>
      <c r="D36" s="205" t="s">
        <v>286</v>
      </c>
      <c r="E36" s="14" t="s">
        <v>253</v>
      </c>
      <c r="F36" s="196">
        <v>401640</v>
      </c>
      <c r="G36" s="196">
        <v>12910</v>
      </c>
      <c r="H36" s="14" t="s">
        <v>254</v>
      </c>
      <c r="I36" s="196">
        <f t="shared" ref="I36:I38" si="10">(F36*G36*2000)/1000000</f>
        <v>10370344.800000001</v>
      </c>
      <c r="J36" s="206">
        <v>10305447</v>
      </c>
      <c r="K36" s="207">
        <v>1057336</v>
      </c>
      <c r="L36" s="201"/>
    </row>
    <row r="37" spans="2:12" ht="12.75" customHeight="1">
      <c r="B37" s="182"/>
      <c r="C37" s="14" t="s">
        <v>287</v>
      </c>
      <c r="D37" s="205" t="s">
        <v>288</v>
      </c>
      <c r="E37" s="14" t="s">
        <v>253</v>
      </c>
      <c r="F37" s="196">
        <v>342990</v>
      </c>
      <c r="G37" s="196">
        <v>12910</v>
      </c>
      <c r="H37" s="14" t="s">
        <v>254</v>
      </c>
      <c r="I37" s="196">
        <f t="shared" si="10"/>
        <v>8856001.8000000007</v>
      </c>
      <c r="J37" s="206">
        <v>8948983</v>
      </c>
      <c r="K37" s="207">
        <v>918164</v>
      </c>
      <c r="L37" s="201"/>
    </row>
    <row r="38" spans="2:12" ht="12.75" customHeight="1">
      <c r="B38" s="182"/>
      <c r="C38" s="14" t="s">
        <v>289</v>
      </c>
      <c r="D38" s="205" t="s">
        <v>290</v>
      </c>
      <c r="E38" s="14" t="s">
        <v>253</v>
      </c>
      <c r="F38" s="196">
        <v>418238</v>
      </c>
      <c r="G38" s="196">
        <v>12910</v>
      </c>
      <c r="H38" s="14" t="s">
        <v>254</v>
      </c>
      <c r="I38" s="196">
        <f t="shared" si="10"/>
        <v>10798905.16</v>
      </c>
      <c r="J38" s="206">
        <v>11940584</v>
      </c>
      <c r="K38" s="207">
        <v>1225103</v>
      </c>
      <c r="L38" s="201"/>
    </row>
    <row r="39" spans="2:12" ht="12.75" customHeight="1">
      <c r="B39" s="182"/>
      <c r="C39" s="14"/>
      <c r="D39" s="14"/>
      <c r="E39" s="14"/>
      <c r="F39" s="208">
        <f>SUM(F36:F38)</f>
        <v>1162868</v>
      </c>
      <c r="G39" s="196"/>
      <c r="H39" s="14"/>
      <c r="I39" s="14"/>
      <c r="J39" s="208">
        <f t="shared" ref="J39:K39" si="11">SUM(J36:J38)</f>
        <v>31195014</v>
      </c>
      <c r="K39" s="209">
        <f t="shared" si="11"/>
        <v>3200603</v>
      </c>
      <c r="L39" s="201"/>
    </row>
    <row r="40" spans="2:12" ht="12.75" customHeight="1">
      <c r="B40" s="182" t="s">
        <v>291</v>
      </c>
      <c r="C40" s="211" t="s">
        <v>292</v>
      </c>
      <c r="D40" s="14"/>
      <c r="E40" s="14"/>
      <c r="F40" s="196"/>
      <c r="G40" s="196"/>
      <c r="H40" s="14"/>
      <c r="I40" s="14"/>
      <c r="J40" s="14"/>
      <c r="K40" s="197"/>
      <c r="L40" s="201"/>
    </row>
    <row r="41" spans="2:12" ht="12.75" customHeight="1">
      <c r="B41" s="182"/>
      <c r="C41" s="14" t="s">
        <v>293</v>
      </c>
      <c r="D41" s="205">
        <v>1</v>
      </c>
      <c r="E41" s="14" t="s">
        <v>294</v>
      </c>
      <c r="F41" s="196">
        <v>1325700</v>
      </c>
      <c r="G41" s="196">
        <v>13282</v>
      </c>
      <c r="H41" s="14" t="s">
        <v>254</v>
      </c>
      <c r="I41" s="201">
        <f t="shared" ref="I41:I42" si="12">(F41*G41*2000)/1000000</f>
        <v>35215894.799999997</v>
      </c>
      <c r="J41" s="206">
        <v>35354741</v>
      </c>
      <c r="K41" s="207">
        <v>3625815.6</v>
      </c>
      <c r="L41" s="201"/>
    </row>
    <row r="42" spans="2:12" ht="12.75" customHeight="1">
      <c r="B42" s="182"/>
      <c r="C42" s="14" t="s">
        <v>295</v>
      </c>
      <c r="D42" s="205">
        <v>2</v>
      </c>
      <c r="E42" s="14" t="s">
        <v>253</v>
      </c>
      <c r="F42" s="196">
        <v>1321775</v>
      </c>
      <c r="G42" s="196">
        <v>13282</v>
      </c>
      <c r="H42" s="14" t="s">
        <v>254</v>
      </c>
      <c r="I42" s="201">
        <f t="shared" si="12"/>
        <v>35111631.100000001</v>
      </c>
      <c r="J42" s="206">
        <v>35112681</v>
      </c>
      <c r="K42" s="207">
        <v>3600876.8</v>
      </c>
      <c r="L42" s="201"/>
    </row>
    <row r="43" spans="2:12" ht="12.75" customHeight="1">
      <c r="B43" s="182"/>
      <c r="C43" s="14"/>
      <c r="D43" s="183"/>
      <c r="E43" s="14"/>
      <c r="F43" s="208">
        <f>SUM(F41:F42)</f>
        <v>2647475</v>
      </c>
      <c r="G43" s="196"/>
      <c r="H43" s="14"/>
      <c r="I43" s="196"/>
      <c r="J43" s="208">
        <f t="shared" ref="J43:K43" si="13">SUM(J41:J42)</f>
        <v>70467422</v>
      </c>
      <c r="K43" s="209">
        <f t="shared" si="13"/>
        <v>7226692.4000000004</v>
      </c>
      <c r="L43" s="201"/>
    </row>
    <row r="44" spans="2:12" ht="12.75" customHeight="1">
      <c r="B44" s="182"/>
      <c r="C44" s="212"/>
      <c r="D44" s="183"/>
      <c r="E44" s="14"/>
      <c r="F44" s="196"/>
      <c r="G44" s="196"/>
      <c r="H44" s="14"/>
      <c r="I44" s="196"/>
      <c r="J44" s="196"/>
      <c r="K44" s="210"/>
      <c r="L44" s="196"/>
    </row>
    <row r="45" spans="2:12" ht="12.75" customHeight="1">
      <c r="B45" s="182"/>
      <c r="C45" s="211" t="s">
        <v>296</v>
      </c>
      <c r="D45" s="205" t="s">
        <v>297</v>
      </c>
      <c r="E45" s="14" t="s">
        <v>253</v>
      </c>
      <c r="F45" s="196"/>
      <c r="G45" s="196"/>
      <c r="H45" s="14"/>
      <c r="I45" s="196"/>
      <c r="J45" s="206">
        <v>12554530.306191761</v>
      </c>
      <c r="K45" s="207">
        <v>1285927.8608228231</v>
      </c>
      <c r="L45" s="196"/>
    </row>
    <row r="46" spans="2:12" ht="12.75" customHeight="1">
      <c r="B46" s="182"/>
      <c r="C46" s="212"/>
      <c r="D46" s="183"/>
      <c r="E46" s="14"/>
      <c r="F46" s="196"/>
      <c r="G46" s="196"/>
      <c r="H46" s="14"/>
      <c r="I46" s="196"/>
      <c r="J46" s="196"/>
      <c r="K46" s="210"/>
      <c r="L46" s="196"/>
    </row>
    <row r="47" spans="2:12" ht="12.75" customHeight="1">
      <c r="B47" s="182"/>
      <c r="C47" s="14"/>
      <c r="D47" s="14"/>
      <c r="E47" s="14"/>
      <c r="F47" s="196"/>
      <c r="G47" s="196"/>
      <c r="H47" s="14"/>
      <c r="I47" s="213"/>
      <c r="J47" s="213"/>
      <c r="K47" s="214"/>
      <c r="L47" s="196"/>
    </row>
    <row r="48" spans="2:12" ht="12.75" customHeight="1">
      <c r="B48" s="182"/>
      <c r="C48" s="14"/>
      <c r="D48" s="14"/>
      <c r="E48" s="14"/>
      <c r="F48" s="196"/>
      <c r="G48" s="196"/>
      <c r="H48" s="14"/>
      <c r="I48" s="213"/>
      <c r="J48" s="213"/>
      <c r="K48" s="197"/>
      <c r="L48" s="196"/>
    </row>
    <row r="49" spans="2:12" ht="12.75" customHeight="1">
      <c r="B49" s="182"/>
      <c r="C49" s="14"/>
      <c r="D49" s="14"/>
      <c r="E49" s="14"/>
      <c r="F49" s="14"/>
      <c r="G49" s="14"/>
      <c r="H49" s="1659" t="s">
        <v>298</v>
      </c>
      <c r="I49" s="1660"/>
      <c r="J49" s="215">
        <f t="shared" ref="J49:K49" si="14">J45+J43+J39+J34+J30+J26+J22+J17+J12</f>
        <v>302014703.30619174</v>
      </c>
      <c r="K49" s="216">
        <f t="shared" si="14"/>
        <v>31008128.160822824</v>
      </c>
      <c r="L49" s="14"/>
    </row>
    <row r="50" spans="2:12" ht="12" customHeight="1">
      <c r="B50" s="217"/>
      <c r="C50" s="218"/>
      <c r="D50" s="218"/>
      <c r="E50" s="218"/>
      <c r="F50" s="218"/>
      <c r="G50" s="218"/>
      <c r="H50" s="218"/>
      <c r="I50" s="218"/>
      <c r="J50" s="218"/>
      <c r="K50" s="219"/>
      <c r="L50" s="14"/>
    </row>
    <row r="51" spans="2:12" ht="12" customHeight="1">
      <c r="L51" s="14"/>
    </row>
    <row r="52" spans="2:12" ht="11.25" customHeight="1">
      <c r="L52" s="14"/>
    </row>
    <row r="53" spans="2:12" ht="11.25" customHeight="1">
      <c r="L53" s="14"/>
    </row>
    <row r="54" spans="2:12" ht="11.25" customHeight="1">
      <c r="L54" s="14"/>
    </row>
    <row r="55" spans="2:12" ht="11.25" customHeight="1">
      <c r="L55" s="14"/>
    </row>
    <row r="56" spans="2:12" ht="21" customHeight="1">
      <c r="B56" s="172" t="s">
        <v>299</v>
      </c>
      <c r="L56" s="14"/>
    </row>
    <row r="57" spans="2:12" ht="12" customHeight="1">
      <c r="L57" s="14"/>
    </row>
    <row r="58" spans="2:12" ht="13.5" customHeight="1">
      <c r="B58" s="174"/>
      <c r="C58" s="176"/>
      <c r="D58" s="176"/>
      <c r="E58" s="220" t="s">
        <v>300</v>
      </c>
      <c r="F58" s="176"/>
      <c r="G58" s="176"/>
      <c r="H58" s="176"/>
      <c r="I58" s="176"/>
      <c r="J58" s="176"/>
      <c r="K58" s="175"/>
      <c r="L58" s="14"/>
    </row>
    <row r="59" spans="2:12" ht="12.75" customHeight="1">
      <c r="B59" s="182"/>
      <c r="C59" s="14"/>
      <c r="D59" s="14"/>
      <c r="E59" s="14"/>
      <c r="F59" s="14"/>
      <c r="G59" s="173"/>
      <c r="H59" s="14"/>
      <c r="I59" s="14"/>
      <c r="J59" s="14"/>
      <c r="K59" s="197"/>
      <c r="L59" s="14"/>
    </row>
    <row r="60" spans="2:12" ht="12.75" customHeight="1">
      <c r="B60" s="182"/>
      <c r="C60" s="14"/>
      <c r="D60" s="14"/>
      <c r="E60" s="14"/>
      <c r="F60" s="14"/>
      <c r="G60" s="221"/>
      <c r="H60" s="221"/>
      <c r="I60" s="14"/>
      <c r="J60" s="14"/>
      <c r="K60" s="197"/>
      <c r="L60" s="14"/>
    </row>
    <row r="61" spans="2:12" ht="12.75" customHeight="1">
      <c r="B61" s="182"/>
      <c r="C61" s="14"/>
      <c r="D61" s="14"/>
      <c r="E61" s="14"/>
      <c r="F61" s="14"/>
      <c r="G61" s="221"/>
      <c r="H61" s="221"/>
      <c r="I61" s="14"/>
      <c r="J61" s="14"/>
      <c r="K61" s="197"/>
      <c r="L61" s="14"/>
    </row>
    <row r="62" spans="2:12" ht="14.25" customHeight="1">
      <c r="B62" s="182"/>
      <c r="C62" s="14"/>
      <c r="D62" s="187" t="s">
        <v>237</v>
      </c>
      <c r="E62" s="187" t="s">
        <v>238</v>
      </c>
      <c r="F62" s="187" t="s">
        <v>239</v>
      </c>
      <c r="G62" s="187" t="s">
        <v>240</v>
      </c>
      <c r="H62" s="187" t="s">
        <v>240</v>
      </c>
      <c r="I62" s="222" t="s">
        <v>242</v>
      </c>
      <c r="J62" s="223" t="s">
        <v>242</v>
      </c>
      <c r="K62" s="186" t="s">
        <v>301</v>
      </c>
      <c r="L62" s="14"/>
    </row>
    <row r="63" spans="2:12" ht="12.75" customHeight="1">
      <c r="B63" s="182"/>
      <c r="C63" s="14"/>
      <c r="D63" s="187"/>
      <c r="E63" s="187"/>
      <c r="F63" s="187" t="s">
        <v>302</v>
      </c>
      <c r="G63" s="187"/>
      <c r="H63" s="187" t="s">
        <v>303</v>
      </c>
      <c r="I63" s="190" t="s">
        <v>246</v>
      </c>
      <c r="J63" s="224" t="s">
        <v>246</v>
      </c>
      <c r="K63" s="225" t="s">
        <v>244</v>
      </c>
      <c r="L63" s="14"/>
    </row>
    <row r="64" spans="2:12" ht="12.75" customHeight="1">
      <c r="B64" s="182"/>
      <c r="C64" s="14"/>
      <c r="D64" s="187"/>
      <c r="E64" s="187"/>
      <c r="F64" s="187"/>
      <c r="G64" s="187"/>
      <c r="H64" s="187"/>
      <c r="I64" s="190" t="s">
        <v>247</v>
      </c>
      <c r="J64" s="224" t="s">
        <v>248</v>
      </c>
      <c r="K64" s="226" t="s">
        <v>248</v>
      </c>
      <c r="L64" s="14"/>
    </row>
    <row r="65" spans="2:12" ht="11.25" customHeight="1">
      <c r="B65" s="182"/>
      <c r="C65" s="14"/>
      <c r="D65" s="14"/>
      <c r="E65" s="14"/>
      <c r="F65" s="196"/>
      <c r="G65" s="14"/>
      <c r="H65" s="14"/>
      <c r="I65" s="14"/>
      <c r="J65" s="14"/>
      <c r="K65" s="197"/>
      <c r="L65" s="14"/>
    </row>
    <row r="66" spans="2:12" ht="12.75" customHeight="1">
      <c r="B66" s="182" t="s">
        <v>249</v>
      </c>
      <c r="C66" s="187" t="s">
        <v>250</v>
      </c>
      <c r="D66" s="198" t="s">
        <v>252</v>
      </c>
      <c r="E66" s="14" t="s">
        <v>304</v>
      </c>
      <c r="F66" s="196">
        <v>242200</v>
      </c>
      <c r="G66" s="196">
        <v>140000</v>
      </c>
      <c r="H66" s="14" t="s">
        <v>305</v>
      </c>
      <c r="I66" s="227">
        <f t="shared" ref="I66:I67" si="15">F66*G66/1000000</f>
        <v>33908</v>
      </c>
      <c r="J66" s="227"/>
      <c r="K66" s="228"/>
      <c r="L66" s="14"/>
    </row>
    <row r="67" spans="2:12" ht="11.25" customHeight="1">
      <c r="B67" s="182"/>
      <c r="C67" s="14" t="s">
        <v>251</v>
      </c>
      <c r="D67" s="14" t="s">
        <v>306</v>
      </c>
      <c r="E67" s="14" t="s">
        <v>304</v>
      </c>
      <c r="F67" s="196">
        <v>623</v>
      </c>
      <c r="G67" s="196">
        <v>140000</v>
      </c>
      <c r="H67" s="14" t="s">
        <v>305</v>
      </c>
      <c r="I67" s="14">
        <f t="shared" si="15"/>
        <v>87.22</v>
      </c>
      <c r="J67" s="14"/>
      <c r="K67" s="229"/>
      <c r="L67" s="14"/>
    </row>
    <row r="68" spans="2:12" ht="12.75" customHeight="1">
      <c r="B68" s="182"/>
      <c r="C68" s="14"/>
      <c r="D68" s="14"/>
      <c r="E68" s="14"/>
      <c r="F68" s="208">
        <f>SUM(F66:F67)</f>
        <v>242823</v>
      </c>
      <c r="G68" s="196"/>
      <c r="H68" s="14"/>
      <c r="I68" s="208">
        <f>SUM(I66:I67)</f>
        <v>33995.22</v>
      </c>
      <c r="J68" s="202"/>
      <c r="K68" s="203"/>
      <c r="L68" s="14"/>
    </row>
    <row r="69" spans="2:12" ht="12.75" customHeight="1">
      <c r="B69" s="182"/>
      <c r="C69" s="14"/>
      <c r="D69" s="14"/>
      <c r="E69" s="14"/>
      <c r="F69" s="196"/>
      <c r="G69" s="196"/>
      <c r="H69" s="14"/>
      <c r="I69" s="202"/>
      <c r="J69" s="202"/>
      <c r="K69" s="203"/>
      <c r="L69" s="14"/>
    </row>
    <row r="70" spans="2:12" ht="12.75" customHeight="1">
      <c r="B70" s="204" t="s">
        <v>255</v>
      </c>
      <c r="C70" s="187" t="s">
        <v>256</v>
      </c>
      <c r="D70" s="14"/>
      <c r="E70" s="14"/>
      <c r="F70" s="196"/>
      <c r="G70" s="196"/>
      <c r="H70" s="14"/>
      <c r="I70" s="14"/>
      <c r="J70" s="14"/>
      <c r="K70" s="197"/>
      <c r="L70" s="14"/>
    </row>
    <row r="71" spans="2:12" ht="11.25" customHeight="1">
      <c r="B71" s="182"/>
      <c r="C71" s="46" t="s">
        <v>307</v>
      </c>
      <c r="D71" s="205" t="s">
        <v>257</v>
      </c>
      <c r="E71" s="14" t="s">
        <v>308</v>
      </c>
      <c r="F71" s="196">
        <v>851000</v>
      </c>
      <c r="G71" s="196">
        <v>139</v>
      </c>
      <c r="H71" s="14" t="s">
        <v>309</v>
      </c>
      <c r="I71" s="196">
        <f t="shared" ref="I71:I72" si="16">(F71*G71)/1000</f>
        <v>118289</v>
      </c>
      <c r="J71" s="196"/>
      <c r="K71" s="210"/>
      <c r="L71" s="14"/>
    </row>
    <row r="72" spans="2:12" ht="11.25" customHeight="1">
      <c r="B72" s="182"/>
      <c r="C72" s="46" t="s">
        <v>310</v>
      </c>
      <c r="D72" s="205" t="s">
        <v>259</v>
      </c>
      <c r="E72" s="14" t="s">
        <v>308</v>
      </c>
      <c r="F72" s="196">
        <v>667000</v>
      </c>
      <c r="G72" s="196">
        <v>139</v>
      </c>
      <c r="H72" s="14" t="s">
        <v>309</v>
      </c>
      <c r="I72" s="196">
        <f t="shared" si="16"/>
        <v>92713</v>
      </c>
      <c r="J72" s="196"/>
      <c r="K72" s="210"/>
      <c r="L72" s="14"/>
    </row>
    <row r="73" spans="2:12" ht="12.75" customHeight="1">
      <c r="B73" s="182"/>
      <c r="C73" s="14"/>
      <c r="D73" s="183"/>
      <c r="E73" s="14"/>
      <c r="F73" s="208">
        <f>SUM(F71:F72)</f>
        <v>1518000</v>
      </c>
      <c r="G73" s="196"/>
      <c r="H73" s="14"/>
      <c r="I73" s="208">
        <f>SUM(I71:I72)</f>
        <v>211002</v>
      </c>
      <c r="J73" s="202"/>
      <c r="K73" s="203"/>
      <c r="L73" s="14"/>
    </row>
    <row r="74" spans="2:12" ht="11.25" customHeight="1">
      <c r="B74" s="182"/>
      <c r="C74" s="14"/>
      <c r="D74" s="183"/>
      <c r="E74" s="14"/>
      <c r="F74" s="196"/>
      <c r="G74" s="196"/>
      <c r="H74" s="14"/>
      <c r="I74" s="14"/>
      <c r="J74" s="14"/>
      <c r="K74" s="197"/>
      <c r="L74" s="14"/>
    </row>
    <row r="75" spans="2:12" ht="12.75" customHeight="1">
      <c r="B75" s="182"/>
      <c r="C75" s="14"/>
      <c r="D75" s="14"/>
      <c r="E75" s="14"/>
      <c r="F75" s="196"/>
      <c r="G75" s="196"/>
      <c r="H75" s="14"/>
      <c r="I75" s="202"/>
      <c r="J75" s="202"/>
      <c r="K75" s="203"/>
      <c r="L75" s="14"/>
    </row>
    <row r="76" spans="2:12" ht="12.75" customHeight="1">
      <c r="B76" s="204" t="s">
        <v>266</v>
      </c>
      <c r="C76" s="187" t="s">
        <v>267</v>
      </c>
      <c r="D76" s="205" t="s">
        <v>257</v>
      </c>
      <c r="E76" s="14" t="s">
        <v>311</v>
      </c>
      <c r="F76" s="196">
        <v>609840</v>
      </c>
      <c r="G76" s="196">
        <v>133631</v>
      </c>
      <c r="H76" s="14" t="s">
        <v>305</v>
      </c>
      <c r="I76" s="196">
        <f t="shared" ref="I76:I84" si="17">(F76*G76)/1000000</f>
        <v>81493.529039999994</v>
      </c>
      <c r="J76" s="196"/>
      <c r="K76" s="210"/>
      <c r="L76" s="14"/>
    </row>
    <row r="77" spans="2:12" ht="11.25" customHeight="1">
      <c r="B77" s="182"/>
      <c r="C77" s="46" t="s">
        <v>268</v>
      </c>
      <c r="D77" s="205" t="s">
        <v>259</v>
      </c>
      <c r="E77" s="14" t="s">
        <v>311</v>
      </c>
      <c r="F77" s="196">
        <v>691824</v>
      </c>
      <c r="G77" s="196">
        <v>133470</v>
      </c>
      <c r="H77" s="14" t="s">
        <v>305</v>
      </c>
      <c r="I77" s="196">
        <f t="shared" si="17"/>
        <v>92337.749280000004</v>
      </c>
      <c r="J77" s="196"/>
      <c r="K77" s="210"/>
      <c r="L77" s="14"/>
    </row>
    <row r="78" spans="2:12" ht="11.25" customHeight="1">
      <c r="B78" s="182"/>
      <c r="C78" s="46" t="s">
        <v>270</v>
      </c>
      <c r="D78" s="205" t="s">
        <v>276</v>
      </c>
      <c r="E78" s="14" t="s">
        <v>311</v>
      </c>
      <c r="F78" s="196">
        <v>862585</v>
      </c>
      <c r="G78" s="196">
        <v>132252</v>
      </c>
      <c r="H78" s="14" t="s">
        <v>305</v>
      </c>
      <c r="I78" s="196">
        <f t="shared" si="17"/>
        <v>114078.59142</v>
      </c>
      <c r="J78" s="196"/>
      <c r="K78" s="210"/>
      <c r="L78" s="14"/>
    </row>
    <row r="79" spans="2:12" ht="11.25" customHeight="1">
      <c r="B79" s="182"/>
      <c r="C79" s="46" t="s">
        <v>312</v>
      </c>
      <c r="D79" s="205" t="s">
        <v>313</v>
      </c>
      <c r="E79" s="14" t="s">
        <v>311</v>
      </c>
      <c r="F79" s="196">
        <v>581096</v>
      </c>
      <c r="G79" s="196">
        <v>132424</v>
      </c>
      <c r="H79" s="14" t="s">
        <v>305</v>
      </c>
      <c r="I79" s="196">
        <f t="shared" si="17"/>
        <v>76951.056704000002</v>
      </c>
      <c r="J79" s="196"/>
      <c r="K79" s="210"/>
      <c r="L79" s="14"/>
    </row>
    <row r="80" spans="2:12" ht="12.75" customHeight="1">
      <c r="B80" s="182"/>
      <c r="C80" s="46" t="s">
        <v>314</v>
      </c>
      <c r="D80" s="183" t="s">
        <v>315</v>
      </c>
      <c r="E80" s="14" t="s">
        <v>311</v>
      </c>
      <c r="F80" s="196">
        <v>255034</v>
      </c>
      <c r="G80" s="196">
        <v>132725</v>
      </c>
      <c r="H80" s="14" t="s">
        <v>305</v>
      </c>
      <c r="I80" s="202">
        <f t="shared" si="17"/>
        <v>33849.387649999997</v>
      </c>
      <c r="J80" s="206"/>
      <c r="K80" s="197"/>
      <c r="L80" s="14"/>
    </row>
    <row r="81" spans="2:12" ht="12.75" customHeight="1">
      <c r="B81" s="182"/>
      <c r="C81" s="46" t="s">
        <v>316</v>
      </c>
      <c r="D81" s="205" t="s">
        <v>317</v>
      </c>
      <c r="E81" s="14" t="s">
        <v>311</v>
      </c>
      <c r="F81" s="196">
        <v>188951</v>
      </c>
      <c r="G81" s="196">
        <v>133243</v>
      </c>
      <c r="H81" s="14" t="s">
        <v>305</v>
      </c>
      <c r="I81" s="196">
        <f t="shared" si="17"/>
        <v>25176.398093</v>
      </c>
      <c r="J81" s="206">
        <v>13108</v>
      </c>
      <c r="K81" s="207">
        <v>1029</v>
      </c>
      <c r="L81" s="14"/>
    </row>
    <row r="82" spans="2:12" ht="11.25" customHeight="1">
      <c r="B82" s="182"/>
      <c r="C82" s="46" t="s">
        <v>318</v>
      </c>
      <c r="D82" s="205" t="s">
        <v>319</v>
      </c>
      <c r="E82" s="14" t="s">
        <v>311</v>
      </c>
      <c r="F82" s="196">
        <v>116978</v>
      </c>
      <c r="G82" s="196">
        <v>135480</v>
      </c>
      <c r="H82" s="14" t="s">
        <v>305</v>
      </c>
      <c r="I82" s="196">
        <f t="shared" si="17"/>
        <v>15848.17944</v>
      </c>
      <c r="J82" s="196"/>
      <c r="K82" s="210"/>
      <c r="L82" s="14"/>
    </row>
    <row r="83" spans="2:12" ht="11.25" customHeight="1">
      <c r="B83" s="182"/>
      <c r="C83" s="46" t="s">
        <v>320</v>
      </c>
      <c r="D83" s="205" t="s">
        <v>321</v>
      </c>
      <c r="E83" s="14" t="s">
        <v>311</v>
      </c>
      <c r="F83" s="196">
        <v>145371</v>
      </c>
      <c r="G83" s="196">
        <v>135572</v>
      </c>
      <c r="H83" s="14" t="s">
        <v>305</v>
      </c>
      <c r="I83" s="196">
        <f t="shared" si="17"/>
        <v>19708.237212</v>
      </c>
      <c r="J83" s="196"/>
      <c r="K83" s="210"/>
      <c r="L83" s="14"/>
    </row>
    <row r="84" spans="2:12" ht="11.25" customHeight="1">
      <c r="B84" s="182"/>
      <c r="C84" s="46" t="s">
        <v>322</v>
      </c>
      <c r="D84" s="205" t="s">
        <v>323</v>
      </c>
      <c r="E84" s="14" t="s">
        <v>311</v>
      </c>
      <c r="F84" s="196">
        <v>136900</v>
      </c>
      <c r="G84" s="196">
        <v>134671</v>
      </c>
      <c r="H84" s="14" t="s">
        <v>305</v>
      </c>
      <c r="I84" s="196">
        <f t="shared" si="17"/>
        <v>18436.459900000002</v>
      </c>
      <c r="J84" s="196"/>
      <c r="K84" s="210"/>
      <c r="L84" s="14"/>
    </row>
    <row r="85" spans="2:12" ht="12.75" customHeight="1">
      <c r="B85" s="182"/>
      <c r="C85" s="46" t="s">
        <v>324</v>
      </c>
      <c r="D85" s="205" t="s">
        <v>325</v>
      </c>
      <c r="E85" s="14" t="s">
        <v>311</v>
      </c>
      <c r="F85" s="196">
        <v>180983</v>
      </c>
      <c r="G85" s="196">
        <v>134133</v>
      </c>
      <c r="H85" s="14" t="s">
        <v>305</v>
      </c>
      <c r="I85" s="208">
        <f>SUM(I76:I84)</f>
        <v>477879.58873899997</v>
      </c>
      <c r="J85" s="202"/>
      <c r="K85" s="203"/>
      <c r="L85" s="14"/>
    </row>
    <row r="86" spans="2:12" ht="12.75" customHeight="1">
      <c r="B86" s="182"/>
      <c r="C86" s="14"/>
      <c r="D86" s="14"/>
      <c r="E86" s="14"/>
      <c r="F86" s="208">
        <f>SUM(F76:F85)</f>
        <v>3769562</v>
      </c>
      <c r="G86" s="196"/>
      <c r="H86" s="14"/>
      <c r="I86" s="196"/>
      <c r="J86" s="196"/>
      <c r="K86" s="210"/>
      <c r="L86" s="14"/>
    </row>
    <row r="87" spans="2:12" ht="11.25" customHeight="1">
      <c r="B87" s="182"/>
      <c r="C87" s="14"/>
      <c r="D87" s="14"/>
      <c r="E87" s="14"/>
      <c r="F87" s="196"/>
      <c r="G87" s="196"/>
      <c r="H87" s="14"/>
      <c r="I87" s="196"/>
      <c r="J87" s="196"/>
      <c r="K87" s="210"/>
      <c r="L87" s="14"/>
    </row>
    <row r="88" spans="2:12" ht="12.75" customHeight="1">
      <c r="B88" s="204" t="s">
        <v>271</v>
      </c>
      <c r="C88" s="187" t="s">
        <v>272</v>
      </c>
      <c r="D88" s="14"/>
      <c r="E88" s="14"/>
      <c r="F88" s="196"/>
      <c r="G88" s="196"/>
      <c r="H88" s="14"/>
      <c r="I88" s="196"/>
      <c r="J88" s="196"/>
      <c r="K88" s="210"/>
      <c r="L88" s="14"/>
    </row>
    <row r="89" spans="2:12" ht="12.75" customHeight="1">
      <c r="B89" s="182"/>
      <c r="C89" s="46" t="s">
        <v>326</v>
      </c>
      <c r="D89" s="14" t="s">
        <v>327</v>
      </c>
      <c r="E89" s="14" t="s">
        <v>328</v>
      </c>
      <c r="F89" s="196">
        <v>144000</v>
      </c>
      <c r="G89" s="196">
        <v>139</v>
      </c>
      <c r="H89" s="14" t="s">
        <v>329</v>
      </c>
      <c r="I89" s="208">
        <f>(F89*G89)/1000</f>
        <v>20016</v>
      </c>
      <c r="J89" s="196"/>
      <c r="K89" s="230"/>
      <c r="L89" s="14"/>
    </row>
    <row r="90" spans="2:12" ht="11.25" customHeight="1">
      <c r="B90" s="182"/>
      <c r="C90" s="14"/>
      <c r="D90" s="14"/>
      <c r="E90" s="14"/>
      <c r="F90" s="196"/>
      <c r="G90" s="196"/>
      <c r="H90" s="14"/>
      <c r="I90" s="14"/>
      <c r="J90" s="14"/>
      <c r="K90" s="197"/>
      <c r="L90" s="14"/>
    </row>
    <row r="91" spans="2:12" ht="12.75" customHeight="1">
      <c r="B91" s="204" t="s">
        <v>330</v>
      </c>
      <c r="C91" s="187" t="s">
        <v>331</v>
      </c>
      <c r="D91" s="14"/>
      <c r="E91" s="14"/>
      <c r="F91" s="196"/>
      <c r="G91" s="196"/>
      <c r="H91" s="14"/>
      <c r="I91" s="196"/>
      <c r="J91" s="196"/>
      <c r="K91" s="210"/>
      <c r="L91" s="14"/>
    </row>
    <row r="92" spans="2:12" ht="11.25" customHeight="1">
      <c r="B92" s="182"/>
      <c r="C92" s="46" t="s">
        <v>332</v>
      </c>
      <c r="D92" s="198" t="s">
        <v>333</v>
      </c>
      <c r="E92" s="14" t="s">
        <v>328</v>
      </c>
      <c r="F92" s="196">
        <v>630000</v>
      </c>
      <c r="G92" s="196">
        <v>139</v>
      </c>
      <c r="H92" s="14" t="s">
        <v>329</v>
      </c>
      <c r="I92" s="196">
        <f t="shared" ref="I92:I96" si="18">(F92*G92)/1000</f>
        <v>87570</v>
      </c>
      <c r="J92" s="196"/>
      <c r="K92" s="210"/>
      <c r="L92" s="14"/>
    </row>
    <row r="93" spans="2:12" ht="12.75" customHeight="1">
      <c r="B93" s="182"/>
      <c r="C93" s="46" t="s">
        <v>334</v>
      </c>
      <c r="D93" s="198" t="s">
        <v>335</v>
      </c>
      <c r="E93" s="14" t="s">
        <v>328</v>
      </c>
      <c r="F93" s="196">
        <v>972000</v>
      </c>
      <c r="G93" s="196">
        <v>139</v>
      </c>
      <c r="H93" s="14" t="s">
        <v>329</v>
      </c>
      <c r="I93" s="202">
        <f t="shared" si="18"/>
        <v>135108</v>
      </c>
      <c r="J93" s="206">
        <v>104981</v>
      </c>
      <c r="K93" s="207">
        <v>8241</v>
      </c>
      <c r="L93" s="14"/>
    </row>
    <row r="94" spans="2:12" ht="12.75" customHeight="1">
      <c r="B94" s="182"/>
      <c r="C94" s="46" t="s">
        <v>336</v>
      </c>
      <c r="D94" s="198" t="s">
        <v>337</v>
      </c>
      <c r="E94" s="14" t="s">
        <v>328</v>
      </c>
      <c r="F94" s="196">
        <v>856000</v>
      </c>
      <c r="G94" s="196">
        <v>139</v>
      </c>
      <c r="H94" s="14" t="s">
        <v>329</v>
      </c>
      <c r="I94" s="202">
        <f t="shared" si="18"/>
        <v>118984</v>
      </c>
      <c r="J94" s="206">
        <v>108127</v>
      </c>
      <c r="K94" s="207">
        <v>8488</v>
      </c>
      <c r="L94" s="14"/>
    </row>
    <row r="95" spans="2:12" ht="12.75" customHeight="1">
      <c r="B95" s="182"/>
      <c r="C95" s="46" t="s">
        <v>338</v>
      </c>
      <c r="D95" s="14" t="s">
        <v>339</v>
      </c>
      <c r="E95" s="14" t="s">
        <v>328</v>
      </c>
      <c r="F95" s="196">
        <v>743000</v>
      </c>
      <c r="G95" s="196">
        <v>139</v>
      </c>
      <c r="H95" s="14" t="s">
        <v>329</v>
      </c>
      <c r="I95" s="202">
        <f t="shared" si="18"/>
        <v>103277</v>
      </c>
      <c r="J95" s="206">
        <v>120981</v>
      </c>
      <c r="K95" s="207">
        <v>9497</v>
      </c>
      <c r="L95" s="14"/>
    </row>
    <row r="96" spans="2:12" ht="12.75" customHeight="1">
      <c r="B96" s="182"/>
      <c r="C96" s="46" t="s">
        <v>340</v>
      </c>
      <c r="D96" s="198" t="s">
        <v>341</v>
      </c>
      <c r="E96" s="14" t="s">
        <v>328</v>
      </c>
      <c r="F96" s="196">
        <v>2000</v>
      </c>
      <c r="G96" s="196">
        <v>139</v>
      </c>
      <c r="H96" s="14" t="s">
        <v>329</v>
      </c>
      <c r="I96" s="202">
        <f t="shared" si="18"/>
        <v>278</v>
      </c>
      <c r="J96" s="231">
        <f t="shared" ref="J96:K96" si="19">SUM(J93:J95)</f>
        <v>334089</v>
      </c>
      <c r="K96" s="209">
        <f t="shared" si="19"/>
        <v>26226</v>
      </c>
      <c r="L96" s="14"/>
    </row>
    <row r="97" spans="2:12" ht="12.75" customHeight="1">
      <c r="B97" s="182"/>
      <c r="C97" s="14"/>
      <c r="D97" s="14"/>
      <c r="E97" s="14"/>
      <c r="F97" s="208">
        <f>SUM(F92:F96)</f>
        <v>3203000</v>
      </c>
      <c r="G97" s="196"/>
      <c r="H97" s="14"/>
      <c r="I97" s="208">
        <f>SUM(I92:I96)</f>
        <v>445217</v>
      </c>
      <c r="J97" s="196"/>
      <c r="K97" s="210"/>
      <c r="L97" s="14"/>
    </row>
    <row r="98" spans="2:12" ht="12.75" customHeight="1">
      <c r="B98" s="204" t="s">
        <v>277</v>
      </c>
      <c r="C98" s="187" t="s">
        <v>278</v>
      </c>
      <c r="E98" s="14"/>
      <c r="F98" s="196"/>
      <c r="G98" s="196"/>
      <c r="H98" s="14"/>
      <c r="I98" s="14"/>
      <c r="J98" s="14"/>
      <c r="K98" s="197"/>
      <c r="L98" s="14"/>
    </row>
    <row r="99" spans="2:12" ht="11.25" customHeight="1">
      <c r="B99" s="182"/>
      <c r="C99" s="46" t="s">
        <v>279</v>
      </c>
      <c r="D99" s="198" t="s">
        <v>280</v>
      </c>
      <c r="E99" s="14" t="s">
        <v>342</v>
      </c>
      <c r="F99" s="196">
        <v>4439283.7</v>
      </c>
      <c r="G99" s="196">
        <v>141000</v>
      </c>
      <c r="H99" s="14" t="s">
        <v>343</v>
      </c>
      <c r="I99" s="196">
        <f t="shared" ref="I99:I100" si="20">(F99*G99)/1000000</f>
        <v>625939.00170000002</v>
      </c>
      <c r="J99" s="196"/>
      <c r="K99" s="210"/>
      <c r="L99" s="14"/>
    </row>
    <row r="100" spans="2:12" ht="11.25" customHeight="1">
      <c r="B100" s="182"/>
      <c r="C100" s="46" t="s">
        <v>281</v>
      </c>
      <c r="D100" s="198" t="s">
        <v>282</v>
      </c>
      <c r="E100" s="14" t="s">
        <v>342</v>
      </c>
      <c r="F100" s="196">
        <v>4498304.96</v>
      </c>
      <c r="G100" s="196">
        <v>141000</v>
      </c>
      <c r="H100" s="14" t="s">
        <v>343</v>
      </c>
      <c r="I100" s="196">
        <f t="shared" si="20"/>
        <v>634260.99936000002</v>
      </c>
      <c r="J100" s="196"/>
      <c r="K100" s="210"/>
      <c r="L100" s="14"/>
    </row>
    <row r="101" spans="2:12" ht="12.75" customHeight="1">
      <c r="B101" s="182"/>
      <c r="C101" s="14"/>
      <c r="D101" s="14"/>
      <c r="E101" s="14"/>
      <c r="F101" s="208">
        <f>SUM(F99:F100)</f>
        <v>8937588.6600000001</v>
      </c>
      <c r="G101" s="196"/>
      <c r="H101" s="14"/>
      <c r="I101" s="208">
        <f>SUM(I99:I100)</f>
        <v>1260200.0010600002</v>
      </c>
      <c r="J101" s="232"/>
      <c r="K101" s="233"/>
      <c r="L101" s="14"/>
    </row>
    <row r="102" spans="2:12" ht="12.75" customHeight="1">
      <c r="B102" s="204" t="s">
        <v>344</v>
      </c>
      <c r="C102" s="187" t="s">
        <v>345</v>
      </c>
      <c r="D102" s="14"/>
      <c r="E102" s="14"/>
      <c r="F102" s="196"/>
      <c r="G102" s="196"/>
      <c r="H102" s="14"/>
      <c r="I102" s="14"/>
      <c r="J102" s="14"/>
      <c r="K102" s="197"/>
      <c r="L102" s="14"/>
    </row>
    <row r="103" spans="2:12" ht="12.75" customHeight="1">
      <c r="B103" s="182"/>
      <c r="C103" s="46" t="s">
        <v>346</v>
      </c>
      <c r="D103" s="14" t="s">
        <v>347</v>
      </c>
      <c r="E103" s="14" t="s">
        <v>342</v>
      </c>
      <c r="F103" s="196">
        <v>202000</v>
      </c>
      <c r="G103" s="196">
        <v>139</v>
      </c>
      <c r="H103" s="234" t="s">
        <v>329</v>
      </c>
      <c r="I103" s="196">
        <f t="shared" ref="I103:I104" si="21">(F103*G103)/1000</f>
        <v>28078</v>
      </c>
      <c r="J103" s="196"/>
      <c r="K103" s="230"/>
      <c r="L103" s="14"/>
    </row>
    <row r="104" spans="2:12" ht="12.75" customHeight="1">
      <c r="B104" s="182"/>
      <c r="C104" s="46" t="s">
        <v>348</v>
      </c>
      <c r="D104" s="14" t="s">
        <v>349</v>
      </c>
      <c r="E104" s="14" t="s">
        <v>342</v>
      </c>
      <c r="F104" s="196">
        <v>236000</v>
      </c>
      <c r="G104" s="196">
        <v>139</v>
      </c>
      <c r="H104" s="234" t="s">
        <v>329</v>
      </c>
      <c r="I104" s="196">
        <f t="shared" si="21"/>
        <v>32804</v>
      </c>
      <c r="J104" s="196"/>
      <c r="K104" s="230"/>
      <c r="L104" s="14"/>
    </row>
    <row r="105" spans="2:12" ht="12.75" customHeight="1">
      <c r="B105" s="182"/>
      <c r="C105" s="14"/>
      <c r="D105" s="14"/>
      <c r="E105" s="234"/>
      <c r="F105" s="208">
        <f>SUM(F103:F104)</f>
        <v>438000</v>
      </c>
      <c r="G105" s="196"/>
      <c r="H105" s="234"/>
      <c r="I105" s="208">
        <f>SUM(I103:I104)</f>
        <v>60882</v>
      </c>
      <c r="J105" s="196"/>
      <c r="K105" s="210"/>
      <c r="L105" s="14"/>
    </row>
    <row r="106" spans="2:12" ht="11.25" customHeight="1">
      <c r="B106" s="182"/>
      <c r="C106" s="14"/>
      <c r="D106" s="14"/>
      <c r="E106" s="234"/>
      <c r="F106" s="196"/>
      <c r="G106" s="196"/>
      <c r="H106" s="234"/>
      <c r="I106" s="196"/>
      <c r="J106" s="196"/>
      <c r="K106" s="210"/>
      <c r="L106" s="14"/>
    </row>
    <row r="107" spans="2:12" ht="12.75" customHeight="1">
      <c r="B107" s="204" t="s">
        <v>350</v>
      </c>
      <c r="C107" s="187" t="s">
        <v>351</v>
      </c>
      <c r="D107" s="14"/>
      <c r="E107" s="234"/>
      <c r="F107" s="196"/>
      <c r="G107" s="196"/>
      <c r="H107" s="234"/>
      <c r="I107" s="196"/>
      <c r="J107" s="196"/>
      <c r="K107" s="210"/>
      <c r="L107" s="14"/>
    </row>
    <row r="108" spans="2:12" ht="12.75" customHeight="1">
      <c r="B108" s="182"/>
      <c r="C108" s="46" t="s">
        <v>352</v>
      </c>
      <c r="D108" s="198" t="s">
        <v>353</v>
      </c>
      <c r="E108" s="14" t="s">
        <v>342</v>
      </c>
      <c r="F108" s="208">
        <v>82113</v>
      </c>
      <c r="G108" s="196">
        <v>138097</v>
      </c>
      <c r="H108" s="14" t="s">
        <v>354</v>
      </c>
      <c r="I108" s="208">
        <f>(F108*G108)/1000000</f>
        <v>11339.558961000001</v>
      </c>
      <c r="J108" s="196"/>
      <c r="K108" s="210"/>
      <c r="L108" s="14"/>
    </row>
    <row r="109" spans="2:12" ht="11.25" customHeight="1">
      <c r="B109" s="182"/>
      <c r="C109" s="14"/>
      <c r="D109" s="14"/>
      <c r="E109" s="234"/>
      <c r="F109" s="196"/>
      <c r="G109" s="196"/>
      <c r="H109" s="234"/>
      <c r="I109" s="196"/>
      <c r="J109" s="196"/>
      <c r="K109" s="210"/>
      <c r="L109" s="14"/>
    </row>
    <row r="110" spans="2:12" ht="12.75" customHeight="1">
      <c r="B110" s="204" t="s">
        <v>283</v>
      </c>
      <c r="C110" s="211" t="s">
        <v>284</v>
      </c>
      <c r="D110" s="14"/>
      <c r="E110" s="14"/>
      <c r="F110" s="196"/>
      <c r="G110" s="196"/>
      <c r="H110" s="14"/>
      <c r="I110" s="14"/>
      <c r="J110" s="14"/>
      <c r="K110" s="197"/>
      <c r="L110" s="14"/>
    </row>
    <row r="111" spans="2:12" ht="11.25" customHeight="1">
      <c r="B111" s="182"/>
      <c r="C111" s="46" t="s">
        <v>285</v>
      </c>
      <c r="D111" s="205" t="s">
        <v>286</v>
      </c>
      <c r="E111" s="14" t="s">
        <v>342</v>
      </c>
      <c r="F111" s="196">
        <v>202101</v>
      </c>
      <c r="G111" s="196">
        <v>139181</v>
      </c>
      <c r="H111" s="14" t="s">
        <v>305</v>
      </c>
      <c r="I111" s="196">
        <f t="shared" ref="I111:I113" si="22">(F111*G111)/1000000</f>
        <v>28128.619280999999</v>
      </c>
      <c r="J111" s="196"/>
      <c r="K111" s="210"/>
      <c r="L111" s="14"/>
    </row>
    <row r="112" spans="2:12" ht="11.25" customHeight="1">
      <c r="B112" s="182"/>
      <c r="C112" s="46" t="s">
        <v>287</v>
      </c>
      <c r="D112" s="205" t="s">
        <v>288</v>
      </c>
      <c r="E112" s="14" t="s">
        <v>342</v>
      </c>
      <c r="F112" s="196">
        <v>355692</v>
      </c>
      <c r="G112" s="196">
        <v>139181</v>
      </c>
      <c r="H112" s="14" t="s">
        <v>305</v>
      </c>
      <c r="I112" s="196">
        <f t="shared" si="22"/>
        <v>49505.568251999997</v>
      </c>
      <c r="J112" s="196"/>
      <c r="K112" s="210"/>
      <c r="L112" s="14"/>
    </row>
    <row r="113" spans="2:12" ht="11.25" customHeight="1">
      <c r="B113" s="182"/>
      <c r="C113" s="46" t="s">
        <v>289</v>
      </c>
      <c r="D113" s="205" t="s">
        <v>290</v>
      </c>
      <c r="E113" s="14" t="s">
        <v>342</v>
      </c>
      <c r="F113" s="196">
        <v>243688</v>
      </c>
      <c r="G113" s="196">
        <v>139181</v>
      </c>
      <c r="H113" s="14" t="s">
        <v>305</v>
      </c>
      <c r="I113" s="196">
        <f t="shared" si="22"/>
        <v>33916.739527999998</v>
      </c>
      <c r="J113" s="196"/>
      <c r="K113" s="210"/>
      <c r="L113" s="14"/>
    </row>
    <row r="114" spans="2:12" ht="12.75" customHeight="1">
      <c r="B114" s="182"/>
      <c r="C114" s="14"/>
      <c r="D114" s="14"/>
      <c r="E114" s="14"/>
      <c r="F114" s="208">
        <f>SUM(F111:F113)</f>
        <v>801481</v>
      </c>
      <c r="G114" s="196"/>
      <c r="H114" s="14"/>
      <c r="I114" s="208">
        <f>SUM(I111:I113)</f>
        <v>111550.92706099999</v>
      </c>
      <c r="J114" s="202"/>
      <c r="K114" s="203"/>
      <c r="L114" s="14"/>
    </row>
    <row r="115" spans="2:12" ht="11.25" customHeight="1">
      <c r="B115" s="182"/>
      <c r="C115" s="14"/>
      <c r="D115" s="14"/>
      <c r="E115" s="14"/>
      <c r="F115" s="196"/>
      <c r="G115" s="196"/>
      <c r="H115" s="14"/>
      <c r="I115" s="196"/>
      <c r="J115" s="196"/>
      <c r="K115" s="210"/>
      <c r="L115" s="14"/>
    </row>
    <row r="116" spans="2:12" ht="11.25" customHeight="1">
      <c r="B116" s="182"/>
      <c r="C116" s="14"/>
      <c r="D116" s="183"/>
      <c r="E116" s="14"/>
      <c r="F116" s="196"/>
      <c r="G116" s="196"/>
      <c r="H116" s="14"/>
      <c r="I116" s="196"/>
      <c r="J116" s="196"/>
      <c r="K116" s="210"/>
      <c r="L116" s="14"/>
    </row>
    <row r="117" spans="2:12" ht="12.75" customHeight="1">
      <c r="B117" s="182" t="s">
        <v>355</v>
      </c>
      <c r="C117" s="211" t="s">
        <v>356</v>
      </c>
      <c r="D117" s="183"/>
      <c r="E117" s="14"/>
      <c r="F117" s="196"/>
      <c r="G117" s="196"/>
      <c r="H117" s="14"/>
      <c r="I117" s="196"/>
      <c r="J117" s="196"/>
      <c r="K117" s="210"/>
      <c r="L117" s="14"/>
    </row>
    <row r="118" spans="2:12" ht="11.25" customHeight="1">
      <c r="B118" s="182"/>
      <c r="C118" s="46" t="s">
        <v>357</v>
      </c>
      <c r="D118" s="183" t="s">
        <v>358</v>
      </c>
      <c r="E118" s="14" t="s">
        <v>342</v>
      </c>
      <c r="F118" s="196">
        <v>114941</v>
      </c>
      <c r="G118" s="196">
        <v>139181</v>
      </c>
      <c r="H118" s="14" t="s">
        <v>305</v>
      </c>
      <c r="I118" s="196">
        <f t="shared" ref="I118:I119" si="23">(F118*G118)/1000000</f>
        <v>15997.603321000001</v>
      </c>
      <c r="J118" s="196"/>
      <c r="K118" s="210"/>
      <c r="L118" s="14"/>
    </row>
    <row r="119" spans="2:12" ht="11.25" customHeight="1">
      <c r="B119" s="182"/>
      <c r="C119" s="46" t="s">
        <v>359</v>
      </c>
      <c r="D119" s="183" t="s">
        <v>360</v>
      </c>
      <c r="E119" s="14" t="s">
        <v>342</v>
      </c>
      <c r="F119" s="196">
        <v>258154</v>
      </c>
      <c r="G119" s="196">
        <v>139181</v>
      </c>
      <c r="H119" s="14" t="s">
        <v>305</v>
      </c>
      <c r="I119" s="196">
        <f t="shared" si="23"/>
        <v>35930.131873999999</v>
      </c>
      <c r="J119" s="196"/>
      <c r="K119" s="210"/>
      <c r="L119" s="14"/>
    </row>
    <row r="120" spans="2:12" ht="12.75" customHeight="1">
      <c r="B120" s="182"/>
      <c r="C120" s="14"/>
      <c r="D120" s="14"/>
      <c r="E120" s="14"/>
      <c r="F120" s="196">
        <f>SUM(F118:F119)</f>
        <v>373095</v>
      </c>
      <c r="G120" s="196"/>
      <c r="H120" s="14"/>
      <c r="I120" s="208">
        <f>SUM(I118:I119)</f>
        <v>51927.735195000001</v>
      </c>
      <c r="J120" s="14"/>
      <c r="K120" s="197"/>
      <c r="L120" s="14"/>
    </row>
    <row r="121" spans="2:12" ht="12.75" customHeight="1">
      <c r="B121" s="182" t="s">
        <v>291</v>
      </c>
      <c r="C121" s="211" t="s">
        <v>292</v>
      </c>
      <c r="D121" s="14"/>
      <c r="E121" s="14"/>
      <c r="F121" s="196"/>
      <c r="G121" s="196"/>
      <c r="H121" s="14"/>
      <c r="I121" s="14"/>
      <c r="J121" s="14"/>
      <c r="K121" s="197"/>
      <c r="L121" s="14"/>
    </row>
    <row r="122" spans="2:12" ht="12.75" customHeight="1">
      <c r="B122" s="182"/>
      <c r="C122" s="46" t="s">
        <v>361</v>
      </c>
      <c r="D122" s="205" t="s">
        <v>362</v>
      </c>
      <c r="E122" s="14" t="s">
        <v>363</v>
      </c>
      <c r="F122" s="196">
        <v>566623</v>
      </c>
      <c r="G122" s="196">
        <v>138840</v>
      </c>
      <c r="H122" s="14" t="s">
        <v>364</v>
      </c>
      <c r="I122" s="202">
        <f t="shared" ref="I122:I124" si="24">(F122*G122)/1000000</f>
        <v>78669.937319999997</v>
      </c>
      <c r="J122" s="206">
        <v>128286</v>
      </c>
      <c r="K122" s="207">
        <v>13156</v>
      </c>
      <c r="L122" s="14"/>
    </row>
    <row r="123" spans="2:12" ht="12.75" customHeight="1">
      <c r="B123" s="182"/>
      <c r="C123" s="46" t="s">
        <v>365</v>
      </c>
      <c r="D123" s="205" t="s">
        <v>366</v>
      </c>
      <c r="E123" s="14" t="s">
        <v>363</v>
      </c>
      <c r="F123" s="196">
        <v>741105</v>
      </c>
      <c r="G123" s="196">
        <v>138840</v>
      </c>
      <c r="H123" s="14" t="s">
        <v>364</v>
      </c>
      <c r="I123" s="202">
        <f t="shared" si="24"/>
        <v>102895.01820000001</v>
      </c>
      <c r="J123" s="206">
        <v>159490</v>
      </c>
      <c r="K123" s="207">
        <v>16356</v>
      </c>
      <c r="L123" s="14"/>
    </row>
    <row r="124" spans="2:12" ht="12.75" customHeight="1">
      <c r="B124" s="182"/>
      <c r="C124" s="46" t="s">
        <v>367</v>
      </c>
      <c r="D124" s="205" t="s">
        <v>368</v>
      </c>
      <c r="E124" s="14" t="s">
        <v>363</v>
      </c>
      <c r="F124" s="196">
        <v>671219</v>
      </c>
      <c r="G124" s="196">
        <v>138840</v>
      </c>
      <c r="H124" s="14" t="s">
        <v>364</v>
      </c>
      <c r="I124" s="202">
        <f t="shared" si="24"/>
        <v>93192.045960000003</v>
      </c>
      <c r="J124" s="206">
        <v>142572</v>
      </c>
      <c r="K124" s="207">
        <v>14621</v>
      </c>
      <c r="L124" s="14"/>
    </row>
    <row r="125" spans="2:12" ht="12.75" customHeight="1">
      <c r="B125" s="182"/>
      <c r="C125" s="14"/>
      <c r="D125" s="183"/>
      <c r="E125" s="14"/>
      <c r="F125" s="208">
        <f>SUM(F122:F124)</f>
        <v>1978947</v>
      </c>
      <c r="G125" s="196"/>
      <c r="H125" s="14"/>
      <c r="I125" s="208">
        <f t="shared" ref="I125:K125" si="25">SUM(I122:I124)</f>
        <v>274757.00148000004</v>
      </c>
      <c r="J125" s="208">
        <f t="shared" si="25"/>
        <v>430348</v>
      </c>
      <c r="K125" s="209">
        <f t="shared" si="25"/>
        <v>44133</v>
      </c>
      <c r="L125" s="14"/>
    </row>
    <row r="126" spans="2:12" ht="11.25" customHeight="1">
      <c r="B126" s="182"/>
      <c r="C126" s="14"/>
      <c r="D126" s="14"/>
      <c r="E126" s="14"/>
      <c r="F126" s="196"/>
      <c r="G126" s="196"/>
      <c r="H126" s="14"/>
      <c r="I126" s="14"/>
      <c r="J126" s="14"/>
      <c r="K126" s="210"/>
      <c r="L126" s="14"/>
    </row>
    <row r="127" spans="2:12" ht="11.25" customHeight="1">
      <c r="B127" s="182"/>
      <c r="C127" s="14"/>
      <c r="D127" s="14"/>
      <c r="E127" s="14"/>
      <c r="F127" s="196"/>
      <c r="G127" s="196"/>
      <c r="H127" s="14"/>
      <c r="I127" s="14"/>
      <c r="J127" s="14"/>
      <c r="K127" s="210"/>
      <c r="L127" s="14"/>
    </row>
    <row r="128" spans="2:12" ht="12.75" customHeight="1">
      <c r="B128" s="235" t="s">
        <v>369</v>
      </c>
      <c r="C128" s="187" t="s">
        <v>370</v>
      </c>
      <c r="D128" s="14"/>
      <c r="F128" s="14"/>
      <c r="G128" s="196"/>
      <c r="H128" s="14"/>
      <c r="I128" s="14"/>
      <c r="J128" s="14"/>
      <c r="K128" s="210"/>
      <c r="L128" s="14"/>
    </row>
    <row r="129" spans="2:12" ht="12.75" customHeight="1">
      <c r="B129" s="182">
        <v>10200203</v>
      </c>
      <c r="C129" s="46" t="s">
        <v>371</v>
      </c>
      <c r="D129" s="198" t="s">
        <v>372</v>
      </c>
      <c r="E129" s="14" t="s">
        <v>342</v>
      </c>
      <c r="F129" s="196"/>
      <c r="G129" s="196"/>
      <c r="H129" s="14"/>
      <c r="I129" s="14"/>
      <c r="J129" s="206">
        <v>35410.726068730211</v>
      </c>
      <c r="K129" s="207">
        <v>2871.6388218339957</v>
      </c>
      <c r="L129" s="14"/>
    </row>
    <row r="130" spans="2:12" ht="11.25" customHeight="1">
      <c r="B130" s="182"/>
      <c r="C130" s="14"/>
      <c r="D130" s="14"/>
      <c r="E130" s="14"/>
      <c r="F130" s="196"/>
      <c r="G130" s="196"/>
      <c r="H130" s="14"/>
      <c r="I130" s="14"/>
      <c r="J130" s="14"/>
      <c r="K130" s="210"/>
      <c r="L130" s="14"/>
    </row>
    <row r="131" spans="2:12" ht="12.75" customHeight="1">
      <c r="B131" s="182"/>
      <c r="C131" s="14"/>
      <c r="D131" s="14"/>
      <c r="E131" s="14"/>
      <c r="F131" s="14"/>
      <c r="G131" s="14"/>
      <c r="H131" s="1661" t="s">
        <v>373</v>
      </c>
      <c r="I131" s="1660"/>
      <c r="J131" s="199">
        <f t="shared" ref="J131:K131" si="26">J129+J125+J96+J81</f>
        <v>812955.72606873023</v>
      </c>
      <c r="K131" s="200">
        <f t="shared" si="26"/>
        <v>74259.638821834</v>
      </c>
      <c r="L131" s="14"/>
    </row>
    <row r="132" spans="2:12" ht="11.25" customHeight="1">
      <c r="B132" s="182"/>
      <c r="C132" s="14"/>
      <c r="D132" s="14"/>
      <c r="E132" s="14"/>
      <c r="F132" s="14"/>
      <c r="G132" s="14"/>
      <c r="H132" s="14"/>
      <c r="I132" s="14"/>
      <c r="J132" s="14"/>
      <c r="K132" s="197"/>
      <c r="L132" s="14"/>
    </row>
    <row r="133" spans="2:12" ht="12.75" customHeight="1">
      <c r="B133" s="235" t="s">
        <v>344</v>
      </c>
      <c r="C133" s="235" t="s">
        <v>345</v>
      </c>
      <c r="D133" s="14"/>
      <c r="E133" s="14"/>
      <c r="F133" s="196"/>
      <c r="G133" s="196"/>
      <c r="H133" s="14"/>
      <c r="I133" s="14"/>
      <c r="J133" s="14"/>
      <c r="K133" s="197"/>
      <c r="L133" s="14"/>
    </row>
    <row r="134" spans="2:12" ht="12.75" customHeight="1">
      <c r="C134" s="46" t="s">
        <v>374</v>
      </c>
      <c r="D134" s="198" t="s">
        <v>375</v>
      </c>
      <c r="E134" s="236" t="s">
        <v>376</v>
      </c>
      <c r="F134" s="208">
        <v>64000</v>
      </c>
      <c r="G134" s="196">
        <v>132</v>
      </c>
      <c r="H134" s="234" t="s">
        <v>329</v>
      </c>
      <c r="I134" s="208">
        <f>(F134*G134)/1000</f>
        <v>8448</v>
      </c>
      <c r="J134" s="206">
        <v>318364</v>
      </c>
      <c r="K134" s="200">
        <v>17510</v>
      </c>
      <c r="L134" s="14"/>
    </row>
    <row r="135" spans="2:12" ht="12" customHeight="1">
      <c r="B135" s="217"/>
      <c r="C135" s="218"/>
      <c r="D135" s="218"/>
      <c r="E135" s="218"/>
      <c r="F135" s="218"/>
      <c r="G135" s="218"/>
      <c r="H135" s="218"/>
      <c r="I135" s="218"/>
      <c r="J135" s="218"/>
      <c r="K135" s="219"/>
      <c r="L135" s="14"/>
    </row>
    <row r="136" spans="2:12" ht="12" customHeight="1">
      <c r="L136" s="14"/>
    </row>
    <row r="137" spans="2:12" ht="12" customHeight="1">
      <c r="L137" s="14"/>
    </row>
    <row r="138" spans="2:12" ht="13.5" customHeight="1">
      <c r="B138" s="174"/>
      <c r="C138" s="176"/>
      <c r="D138" s="176"/>
      <c r="E138" s="220" t="s">
        <v>377</v>
      </c>
      <c r="F138" s="176"/>
      <c r="G138" s="176"/>
      <c r="H138" s="176"/>
      <c r="I138" s="176"/>
      <c r="J138" s="176"/>
      <c r="K138" s="175"/>
      <c r="L138" s="14"/>
    </row>
    <row r="139" spans="2:12" ht="12.75" customHeight="1">
      <c r="B139" s="182"/>
      <c r="C139" s="14"/>
      <c r="D139" s="14"/>
      <c r="E139" s="14"/>
      <c r="F139" s="14"/>
      <c r="G139" s="14"/>
      <c r="H139" s="221"/>
      <c r="I139" s="221"/>
      <c r="J139" s="14"/>
      <c r="K139" s="197"/>
      <c r="L139" s="14"/>
    </row>
    <row r="140" spans="2:12" ht="14.25" customHeight="1">
      <c r="B140" s="182" t="s">
        <v>235</v>
      </c>
      <c r="C140" s="14" t="s">
        <v>236</v>
      </c>
      <c r="D140" s="14" t="s">
        <v>237</v>
      </c>
      <c r="E140" s="14" t="s">
        <v>238</v>
      </c>
      <c r="F140" s="14" t="s">
        <v>239</v>
      </c>
      <c r="G140" s="14" t="s">
        <v>378</v>
      </c>
      <c r="H140" s="14" t="s">
        <v>240</v>
      </c>
      <c r="I140" s="14" t="s">
        <v>379</v>
      </c>
      <c r="J140" s="185" t="s">
        <v>242</v>
      </c>
      <c r="K140" s="186" t="s">
        <v>380</v>
      </c>
      <c r="L140" s="14"/>
    </row>
    <row r="141" spans="2:12" ht="12.75" customHeight="1">
      <c r="B141" s="182"/>
      <c r="C141" s="14"/>
      <c r="D141" s="14"/>
      <c r="E141" s="14"/>
      <c r="F141" s="14"/>
      <c r="G141" s="14"/>
      <c r="H141" s="14"/>
      <c r="I141" s="14"/>
      <c r="J141" s="188" t="s">
        <v>246</v>
      </c>
      <c r="K141" s="225" t="s">
        <v>244</v>
      </c>
      <c r="L141" s="14"/>
    </row>
    <row r="142" spans="2:12" ht="12.75" customHeight="1">
      <c r="B142" s="182"/>
      <c r="C142" s="14"/>
      <c r="D142" s="14"/>
      <c r="E142" s="14"/>
      <c r="F142" s="196"/>
      <c r="G142" s="14"/>
      <c r="H142" s="196"/>
      <c r="I142" s="14"/>
      <c r="J142" s="196"/>
      <c r="K142" s="226" t="s">
        <v>248</v>
      </c>
      <c r="L142" s="14"/>
    </row>
    <row r="143" spans="2:12" ht="12.75" customHeight="1">
      <c r="B143" s="204" t="s">
        <v>266</v>
      </c>
      <c r="C143" s="187" t="s">
        <v>267</v>
      </c>
      <c r="D143" s="14"/>
      <c r="E143" s="14"/>
      <c r="F143" s="196"/>
      <c r="G143" s="14"/>
      <c r="H143" s="196"/>
      <c r="I143" s="14"/>
      <c r="J143" s="202"/>
      <c r="K143" s="197"/>
      <c r="L143" s="14"/>
    </row>
    <row r="144" spans="2:12" ht="11.25" customHeight="1">
      <c r="B144" s="182"/>
      <c r="C144" s="14"/>
      <c r="D144" s="14"/>
      <c r="E144" s="14"/>
      <c r="F144" s="196"/>
      <c r="G144" s="14"/>
      <c r="H144" s="196"/>
      <c r="I144" s="14"/>
      <c r="J144" s="196"/>
      <c r="K144" s="197"/>
      <c r="L144" s="14"/>
    </row>
    <row r="145" spans="2:12" ht="11.25" customHeight="1">
      <c r="B145" s="182"/>
      <c r="C145" s="14" t="s">
        <v>312</v>
      </c>
      <c r="D145" s="205" t="s">
        <v>276</v>
      </c>
      <c r="E145" s="14" t="s">
        <v>381</v>
      </c>
      <c r="F145" s="196">
        <v>7447756</v>
      </c>
      <c r="G145" s="14" t="s">
        <v>382</v>
      </c>
      <c r="H145" s="196">
        <v>151500</v>
      </c>
      <c r="I145" s="14" t="s">
        <v>305</v>
      </c>
      <c r="J145" s="196"/>
      <c r="K145" s="197"/>
      <c r="L145" s="14"/>
    </row>
    <row r="146" spans="2:12" ht="11.25" customHeight="1">
      <c r="B146" s="182"/>
      <c r="C146" s="14" t="s">
        <v>314</v>
      </c>
      <c r="D146" s="205" t="s">
        <v>313</v>
      </c>
      <c r="E146" s="14" t="s">
        <v>381</v>
      </c>
      <c r="F146" s="196">
        <v>468556</v>
      </c>
      <c r="G146" s="14" t="s">
        <v>382</v>
      </c>
      <c r="H146" s="196">
        <v>151650</v>
      </c>
      <c r="I146" s="14" t="s">
        <v>305</v>
      </c>
      <c r="J146" s="196"/>
      <c r="K146" s="197"/>
      <c r="L146" s="14"/>
    </row>
    <row r="147" spans="2:12" ht="12.75" customHeight="1">
      <c r="B147" s="182"/>
      <c r="C147" s="14"/>
      <c r="D147" s="205"/>
      <c r="E147" s="14"/>
      <c r="F147" s="208">
        <f>SUM(F145:F146)</f>
        <v>7916312</v>
      </c>
      <c r="G147" s="14"/>
      <c r="H147" s="196"/>
      <c r="I147" s="14"/>
      <c r="J147" s="196"/>
      <c r="K147" s="197"/>
      <c r="L147" s="14"/>
    </row>
    <row r="148" spans="2:12" ht="11.25" customHeight="1">
      <c r="B148" s="182"/>
      <c r="C148" s="14"/>
      <c r="D148" s="205"/>
      <c r="E148" s="14"/>
      <c r="F148" s="196"/>
      <c r="G148" s="14"/>
      <c r="H148" s="196"/>
      <c r="I148" s="14"/>
      <c r="J148" s="196"/>
      <c r="K148" s="197"/>
      <c r="L148" s="14"/>
    </row>
    <row r="149" spans="2:12" ht="12.75" customHeight="1">
      <c r="B149" s="204" t="s">
        <v>271</v>
      </c>
      <c r="C149" s="187" t="s">
        <v>272</v>
      </c>
      <c r="D149" s="14"/>
      <c r="E149" s="14"/>
      <c r="F149" s="196"/>
      <c r="G149" s="14"/>
      <c r="H149" s="196"/>
      <c r="I149" s="14"/>
      <c r="J149" s="196"/>
      <c r="K149" s="197"/>
      <c r="L149" s="14"/>
    </row>
    <row r="150" spans="2:12" ht="11.25" customHeight="1">
      <c r="B150" s="182"/>
      <c r="C150" s="14" t="s">
        <v>383</v>
      </c>
      <c r="D150" s="198" t="s">
        <v>257</v>
      </c>
      <c r="E150" s="14" t="s">
        <v>384</v>
      </c>
      <c r="F150" s="196">
        <v>1381000</v>
      </c>
      <c r="G150" s="14" t="s">
        <v>382</v>
      </c>
      <c r="H150" s="196">
        <v>151</v>
      </c>
      <c r="I150" s="14" t="s">
        <v>329</v>
      </c>
      <c r="J150" s="196"/>
      <c r="K150" s="197"/>
      <c r="L150" s="14"/>
    </row>
    <row r="151" spans="2:12" ht="12.75" customHeight="1">
      <c r="B151" s="182"/>
      <c r="C151" s="14" t="s">
        <v>385</v>
      </c>
      <c r="D151" s="198" t="s">
        <v>386</v>
      </c>
      <c r="E151" s="14" t="s">
        <v>387</v>
      </c>
      <c r="F151" s="196">
        <v>689000</v>
      </c>
      <c r="G151" s="14" t="s">
        <v>382</v>
      </c>
      <c r="H151" s="196">
        <v>151</v>
      </c>
      <c r="I151" s="14" t="s">
        <v>329</v>
      </c>
      <c r="J151" s="206">
        <v>1168171</v>
      </c>
      <c r="K151" s="207">
        <v>100937</v>
      </c>
      <c r="L151" s="14"/>
    </row>
    <row r="152" spans="2:12" ht="12.75" customHeight="1">
      <c r="B152" s="182"/>
      <c r="C152" s="14"/>
      <c r="D152" s="14"/>
      <c r="E152" s="14"/>
      <c r="F152" s="208">
        <f>SUM(F150:F151)</f>
        <v>2070000</v>
      </c>
      <c r="G152" s="14"/>
      <c r="H152" s="196"/>
      <c r="I152" s="14"/>
      <c r="J152" s="202"/>
      <c r="K152" s="197"/>
      <c r="L152" s="14"/>
    </row>
    <row r="153" spans="2:12" ht="11.25" customHeight="1">
      <c r="B153" s="182"/>
      <c r="C153" s="14"/>
      <c r="D153" s="14"/>
      <c r="E153" s="234"/>
      <c r="F153" s="196"/>
      <c r="G153" s="234"/>
      <c r="H153" s="196"/>
      <c r="I153" s="234"/>
      <c r="J153" s="196"/>
      <c r="K153" s="197"/>
      <c r="L153" s="14"/>
    </row>
    <row r="154" spans="2:12" ht="12.75" customHeight="1">
      <c r="B154" s="204" t="s">
        <v>350</v>
      </c>
      <c r="C154" s="187" t="s">
        <v>351</v>
      </c>
      <c r="D154" s="14"/>
      <c r="E154" s="234"/>
      <c r="F154" s="196"/>
      <c r="G154" s="234"/>
      <c r="H154" s="196"/>
      <c r="I154" s="234"/>
      <c r="J154" s="196"/>
      <c r="K154" s="197"/>
      <c r="L154" s="14"/>
    </row>
    <row r="155" spans="2:12" ht="12.75" customHeight="1">
      <c r="B155" s="182"/>
      <c r="C155" s="14" t="s">
        <v>352</v>
      </c>
      <c r="D155" s="198" t="s">
        <v>353</v>
      </c>
      <c r="E155" s="14" t="s">
        <v>381</v>
      </c>
      <c r="F155" s="208">
        <v>800843</v>
      </c>
      <c r="G155" s="14" t="s">
        <v>382</v>
      </c>
      <c r="H155" s="196">
        <v>150334</v>
      </c>
      <c r="I155" s="14" t="s">
        <v>354</v>
      </c>
      <c r="J155" s="206">
        <v>168136</v>
      </c>
      <c r="K155" s="207">
        <v>13643</v>
      </c>
      <c r="L155" s="14"/>
    </row>
    <row r="156" spans="2:12" ht="12.75" customHeight="1">
      <c r="B156" s="182"/>
      <c r="C156" s="14"/>
      <c r="D156" s="14"/>
      <c r="E156" s="234"/>
      <c r="F156" s="196"/>
      <c r="G156" s="234"/>
      <c r="H156" s="196"/>
      <c r="I156" s="234"/>
      <c r="J156" s="202"/>
      <c r="K156" s="197"/>
      <c r="L156" s="14"/>
    </row>
    <row r="157" spans="2:12" ht="12.75" customHeight="1">
      <c r="B157" s="182" t="s">
        <v>291</v>
      </c>
      <c r="C157" s="211" t="s">
        <v>292</v>
      </c>
      <c r="D157" s="14"/>
      <c r="E157" s="14"/>
      <c r="F157" s="196"/>
      <c r="G157" s="14"/>
      <c r="H157" s="196"/>
      <c r="I157" s="14"/>
      <c r="J157" s="14"/>
      <c r="K157" s="197"/>
      <c r="L157" s="14"/>
    </row>
    <row r="158" spans="2:12" ht="12.75" customHeight="1">
      <c r="B158" s="182"/>
      <c r="C158" s="14" t="s">
        <v>293</v>
      </c>
      <c r="D158" s="205">
        <v>1</v>
      </c>
      <c r="E158" s="14" t="s">
        <v>388</v>
      </c>
      <c r="F158" s="208">
        <v>38840</v>
      </c>
      <c r="G158" s="14" t="s">
        <v>382</v>
      </c>
      <c r="H158" s="196">
        <v>138840</v>
      </c>
      <c r="I158" s="14" t="s">
        <v>364</v>
      </c>
      <c r="J158" s="196"/>
      <c r="K158" s="197"/>
      <c r="L158" s="14"/>
    </row>
    <row r="159" spans="2:12" ht="12.75" customHeight="1">
      <c r="B159" s="182"/>
      <c r="C159" s="14" t="s">
        <v>295</v>
      </c>
      <c r="D159" s="205">
        <v>2</v>
      </c>
      <c r="E159" s="14" t="s">
        <v>388</v>
      </c>
      <c r="F159" s="208">
        <v>7620</v>
      </c>
      <c r="G159" s="14" t="s">
        <v>382</v>
      </c>
      <c r="H159" s="196">
        <v>138840</v>
      </c>
      <c r="I159" s="14" t="s">
        <v>364</v>
      </c>
      <c r="J159" s="196"/>
      <c r="K159" s="197"/>
      <c r="L159" s="14"/>
    </row>
    <row r="160" spans="2:12" ht="11.25" customHeight="1">
      <c r="B160" s="182"/>
      <c r="C160" s="14"/>
      <c r="D160" s="14"/>
      <c r="E160" s="14"/>
      <c r="F160" s="196"/>
      <c r="G160" s="14"/>
      <c r="H160" s="196"/>
      <c r="I160" s="14"/>
      <c r="J160" s="14"/>
      <c r="K160" s="197"/>
      <c r="L160" s="14"/>
    </row>
    <row r="161" spans="1:12" ht="11.25" customHeight="1">
      <c r="B161" s="182"/>
      <c r="C161" s="14"/>
      <c r="D161" s="14"/>
      <c r="E161" s="14"/>
      <c r="F161" s="196"/>
      <c r="G161" s="14"/>
      <c r="H161" s="196"/>
      <c r="I161" s="14"/>
      <c r="J161" s="14"/>
      <c r="K161" s="197"/>
      <c r="L161" s="14"/>
    </row>
    <row r="162" spans="1:12" ht="12.75" customHeight="1">
      <c r="B162" s="235" t="s">
        <v>389</v>
      </c>
      <c r="C162" s="187" t="s">
        <v>390</v>
      </c>
      <c r="D162" s="14"/>
      <c r="E162" s="14" t="s">
        <v>381</v>
      </c>
      <c r="F162" s="196"/>
      <c r="G162" s="14"/>
      <c r="H162" s="196"/>
      <c r="I162" s="14"/>
      <c r="J162" s="237">
        <v>69490.446926729041</v>
      </c>
      <c r="K162" s="238">
        <v>5926.5710326627122</v>
      </c>
      <c r="L162" s="14"/>
    </row>
    <row r="163" spans="1:12" ht="11.25" customHeight="1">
      <c r="B163" s="182" t="s">
        <v>391</v>
      </c>
      <c r="D163" s="14"/>
      <c r="E163" s="14"/>
      <c r="F163" s="196"/>
      <c r="G163" s="14"/>
      <c r="H163" s="196"/>
      <c r="I163" s="14"/>
      <c r="J163" s="14"/>
      <c r="K163" s="197"/>
      <c r="L163" s="14"/>
    </row>
    <row r="164" spans="1:12" ht="11.25" customHeight="1">
      <c r="B164" s="182"/>
      <c r="D164" s="14"/>
      <c r="E164" s="14"/>
      <c r="F164" s="14"/>
      <c r="G164" s="14"/>
      <c r="H164" s="14"/>
      <c r="I164" s="14"/>
      <c r="J164" s="14"/>
      <c r="K164" s="197"/>
      <c r="L164" s="14"/>
    </row>
    <row r="165" spans="1:12" ht="12.75" customHeight="1">
      <c r="A165" s="14"/>
      <c r="B165" s="182"/>
      <c r="C165" s="14"/>
      <c r="D165" s="14"/>
      <c r="E165" s="14"/>
      <c r="F165" s="14"/>
      <c r="G165" s="14"/>
      <c r="H165" s="187" t="s">
        <v>392</v>
      </c>
      <c r="J165" s="199">
        <f t="shared" ref="J165:K165" si="27">SUM(J151:J164)</f>
        <v>1405797.4469267291</v>
      </c>
      <c r="K165" s="200">
        <f t="shared" si="27"/>
        <v>120506.57103266272</v>
      </c>
      <c r="L165" s="14"/>
    </row>
    <row r="166" spans="1:12" ht="13.5" customHeight="1">
      <c r="A166" s="14"/>
      <c r="B166" s="217"/>
      <c r="C166" s="218"/>
      <c r="D166" s="218"/>
      <c r="E166" s="218"/>
      <c r="F166" s="218"/>
      <c r="G166" s="218"/>
      <c r="H166" s="218"/>
      <c r="I166" s="239"/>
      <c r="J166" s="218"/>
      <c r="K166" s="240"/>
      <c r="L166" s="14"/>
    </row>
    <row r="167" spans="1:12" ht="13.5" customHeight="1">
      <c r="A167" s="14"/>
      <c r="B167" s="14"/>
      <c r="C167" s="14"/>
      <c r="D167" s="14"/>
      <c r="E167" s="14"/>
      <c r="F167" s="14"/>
      <c r="G167" s="14"/>
      <c r="H167" s="14"/>
      <c r="I167" s="187"/>
      <c r="J167" s="14"/>
      <c r="K167" s="14"/>
      <c r="L167" s="199"/>
    </row>
    <row r="168" spans="1:12" ht="15.75" customHeight="1">
      <c r="A168" s="14"/>
      <c r="B168" s="14"/>
      <c r="C168" s="14"/>
      <c r="D168" s="14"/>
      <c r="E168" s="14"/>
      <c r="F168" s="14"/>
      <c r="H168" s="1662" t="s">
        <v>393</v>
      </c>
      <c r="I168" s="1660"/>
      <c r="J168" s="241">
        <f t="shared" ref="J168:K168" si="28">J165+J134+J131</f>
        <v>2537117.1729954593</v>
      </c>
      <c r="K168" s="241">
        <f t="shared" si="28"/>
        <v>212276.2098544967</v>
      </c>
      <c r="L168" s="14"/>
    </row>
    <row r="169" spans="1:12" ht="12.75" customHeight="1">
      <c r="A169" s="14"/>
      <c r="B169" s="14"/>
      <c r="C169" s="14"/>
      <c r="D169" s="14"/>
      <c r="E169" s="14"/>
      <c r="F169" s="14"/>
      <c r="G169" s="14"/>
      <c r="H169" s="14"/>
      <c r="I169" s="187"/>
      <c r="J169" s="14"/>
      <c r="K169" s="208"/>
      <c r="L169" s="14"/>
    </row>
    <row r="170" spans="1:12" ht="12.75" customHeight="1">
      <c r="A170" s="14"/>
      <c r="B170" s="14"/>
      <c r="C170" s="14"/>
      <c r="D170" s="14"/>
      <c r="E170" s="14"/>
      <c r="F170" s="14"/>
      <c r="G170" s="14"/>
      <c r="H170" s="14"/>
      <c r="I170" s="187"/>
      <c r="J170" s="14"/>
      <c r="K170" s="208"/>
      <c r="L170" s="14"/>
    </row>
    <row r="171" spans="1:12" ht="12.75" customHeight="1">
      <c r="A171" s="14"/>
      <c r="B171" s="14"/>
      <c r="C171" s="14"/>
      <c r="D171" s="14"/>
      <c r="E171" s="14"/>
      <c r="F171" s="14"/>
      <c r="G171" s="14"/>
      <c r="H171" s="14"/>
      <c r="I171" s="187"/>
      <c r="J171" s="14"/>
      <c r="K171" s="208"/>
      <c r="L171" s="14"/>
    </row>
    <row r="172" spans="1:12" ht="12.75" customHeight="1">
      <c r="A172" s="14"/>
      <c r="B172" s="14"/>
      <c r="C172" s="14"/>
      <c r="D172" s="14"/>
      <c r="E172" s="14"/>
      <c r="F172" s="14"/>
      <c r="G172" s="14"/>
      <c r="H172" s="14"/>
      <c r="I172" s="187"/>
      <c r="J172" s="14"/>
      <c r="K172" s="208"/>
      <c r="L172" s="14"/>
    </row>
    <row r="173" spans="1:12" ht="12.75" customHeight="1">
      <c r="A173" s="14"/>
      <c r="B173" s="14"/>
      <c r="C173" s="14"/>
      <c r="D173" s="14"/>
      <c r="E173" s="14"/>
      <c r="F173" s="14"/>
      <c r="G173" s="14"/>
      <c r="H173" s="14"/>
      <c r="I173" s="187"/>
      <c r="J173" s="14"/>
      <c r="K173" s="208"/>
      <c r="L173" s="14"/>
    </row>
    <row r="174" spans="1:12" ht="21" customHeight="1">
      <c r="A174" s="14"/>
      <c r="B174" s="172" t="s">
        <v>394</v>
      </c>
      <c r="C174" s="14"/>
      <c r="D174" s="14"/>
      <c r="E174" s="14"/>
      <c r="F174" s="14"/>
      <c r="G174" s="14"/>
      <c r="H174" s="14"/>
      <c r="I174" s="187"/>
      <c r="J174" s="14"/>
      <c r="K174" s="208"/>
      <c r="L174" s="14"/>
    </row>
    <row r="175" spans="1:12" ht="12" customHeight="1">
      <c r="A175" s="182"/>
      <c r="B175" s="14"/>
      <c r="C175" s="14"/>
      <c r="D175" s="14"/>
      <c r="E175" s="14"/>
      <c r="F175" s="14"/>
      <c r="G175" s="14"/>
      <c r="H175" s="14"/>
      <c r="I175" s="14"/>
      <c r="J175" s="14"/>
      <c r="K175" s="14"/>
      <c r="L175" s="14"/>
    </row>
    <row r="176" spans="1:12" ht="13.5" customHeight="1">
      <c r="A176" s="182"/>
      <c r="B176" s="174"/>
      <c r="C176" s="176"/>
      <c r="D176" s="176"/>
      <c r="E176" s="176"/>
      <c r="F176" s="176"/>
      <c r="G176" s="242"/>
      <c r="H176" s="176"/>
      <c r="I176" s="176"/>
      <c r="J176" s="176"/>
      <c r="K176" s="175"/>
      <c r="L176" s="14"/>
    </row>
    <row r="177" spans="1:12" ht="12.75" customHeight="1">
      <c r="A177" s="182"/>
      <c r="B177" s="182"/>
      <c r="C177" s="14"/>
      <c r="D177" s="14"/>
      <c r="E177" s="14"/>
      <c r="F177" s="14"/>
      <c r="G177" s="221"/>
      <c r="H177" s="221"/>
      <c r="I177" s="14"/>
      <c r="J177" s="14"/>
      <c r="K177" s="197"/>
      <c r="L177" s="14"/>
    </row>
    <row r="178" spans="1:12" ht="12.75" customHeight="1">
      <c r="A178" s="182"/>
      <c r="B178" s="182"/>
      <c r="C178" s="14"/>
      <c r="D178" s="14"/>
      <c r="E178" s="14"/>
      <c r="F178" s="14"/>
      <c r="G178" s="221"/>
      <c r="H178" s="221"/>
      <c r="I178" s="14"/>
      <c r="J178" s="14"/>
      <c r="K178" s="197"/>
      <c r="L178" s="14"/>
    </row>
    <row r="179" spans="1:12" ht="14.25" customHeight="1">
      <c r="A179" s="182"/>
      <c r="B179" s="182" t="s">
        <v>235</v>
      </c>
      <c r="C179" s="14" t="s">
        <v>236</v>
      </c>
      <c r="D179" s="14" t="s">
        <v>237</v>
      </c>
      <c r="E179" s="14" t="s">
        <v>238</v>
      </c>
      <c r="F179" s="14" t="s">
        <v>239</v>
      </c>
      <c r="G179" s="14" t="s">
        <v>240</v>
      </c>
      <c r="H179" s="14" t="s">
        <v>379</v>
      </c>
      <c r="I179" s="184" t="s">
        <v>242</v>
      </c>
      <c r="J179" s="185" t="s">
        <v>242</v>
      </c>
      <c r="K179" s="186" t="s">
        <v>395</v>
      </c>
      <c r="L179" s="14"/>
    </row>
    <row r="180" spans="1:12" ht="12.75" customHeight="1">
      <c r="A180" s="182"/>
      <c r="B180" s="182"/>
      <c r="C180" s="14"/>
      <c r="D180" s="14"/>
      <c r="E180" s="14"/>
      <c r="F180" s="14" t="s">
        <v>396</v>
      </c>
      <c r="G180" s="14"/>
      <c r="H180" s="14"/>
      <c r="I180" s="183" t="s">
        <v>246</v>
      </c>
      <c r="J180" s="188" t="s">
        <v>246</v>
      </c>
      <c r="K180" s="189" t="s">
        <v>244</v>
      </c>
      <c r="L180" s="14"/>
    </row>
    <row r="181" spans="1:12" ht="12.75" customHeight="1">
      <c r="A181" s="182"/>
      <c r="B181" s="182"/>
      <c r="C181" s="14"/>
      <c r="D181" s="14"/>
      <c r="E181" s="14"/>
      <c r="F181" s="14"/>
      <c r="G181" s="14"/>
      <c r="H181" s="14"/>
      <c r="I181" s="183" t="s">
        <v>247</v>
      </c>
      <c r="J181" s="188" t="s">
        <v>248</v>
      </c>
      <c r="K181" s="243" t="s">
        <v>248</v>
      </c>
      <c r="L181" s="14"/>
    </row>
    <row r="182" spans="1:12" ht="12.75" customHeight="1">
      <c r="A182" s="182"/>
      <c r="B182" s="182" t="s">
        <v>249</v>
      </c>
      <c r="C182" s="187" t="s">
        <v>250</v>
      </c>
      <c r="D182" s="14"/>
      <c r="E182" s="14"/>
      <c r="F182" s="196"/>
      <c r="G182" s="14"/>
      <c r="H182" s="14"/>
      <c r="I182" s="14"/>
      <c r="J182" s="14"/>
      <c r="K182" s="197"/>
      <c r="L182" s="14"/>
    </row>
    <row r="183" spans="1:12" ht="11.25" customHeight="1">
      <c r="A183" s="182"/>
      <c r="B183" s="182"/>
      <c r="C183" s="14" t="s">
        <v>397</v>
      </c>
      <c r="D183" s="14" t="s">
        <v>398</v>
      </c>
      <c r="E183" s="14" t="s">
        <v>399</v>
      </c>
      <c r="F183" s="196">
        <v>4505600</v>
      </c>
      <c r="G183" s="196">
        <v>1020</v>
      </c>
      <c r="H183" s="14" t="s">
        <v>400</v>
      </c>
      <c r="I183" s="227">
        <f t="shared" ref="I183:I184" si="29">F183*G183/1000000</f>
        <v>4595.7120000000004</v>
      </c>
      <c r="J183" s="14"/>
      <c r="K183" s="197"/>
      <c r="L183" s="14"/>
    </row>
    <row r="184" spans="1:12" ht="11.25" customHeight="1">
      <c r="A184" s="182"/>
      <c r="B184" s="182"/>
      <c r="C184" s="14" t="s">
        <v>401</v>
      </c>
      <c r="D184" s="14" t="s">
        <v>402</v>
      </c>
      <c r="E184" s="14" t="s">
        <v>399</v>
      </c>
      <c r="F184" s="196">
        <v>612700</v>
      </c>
      <c r="G184" s="196">
        <v>1021</v>
      </c>
      <c r="H184" s="14" t="s">
        <v>400</v>
      </c>
      <c r="I184" s="244">
        <f t="shared" si="29"/>
        <v>625.56669999999997</v>
      </c>
      <c r="J184" s="14"/>
      <c r="K184" s="197"/>
      <c r="L184" s="14"/>
    </row>
    <row r="185" spans="1:12" ht="12.75" customHeight="1">
      <c r="A185" s="182"/>
      <c r="B185" s="182"/>
      <c r="C185" s="14"/>
      <c r="D185" s="14"/>
      <c r="E185" s="14"/>
      <c r="F185" s="208">
        <f>SUM(F183:F184)</f>
        <v>5118300</v>
      </c>
      <c r="G185" s="196"/>
      <c r="H185" s="14"/>
      <c r="I185" s="202"/>
      <c r="J185" s="14"/>
      <c r="K185" s="197"/>
      <c r="L185" s="14"/>
    </row>
    <row r="186" spans="1:12" ht="12.75" customHeight="1">
      <c r="A186" s="182"/>
      <c r="B186" s="204" t="s">
        <v>260</v>
      </c>
      <c r="C186" s="187" t="s">
        <v>261</v>
      </c>
      <c r="D186" s="183"/>
      <c r="E186" s="14"/>
      <c r="F186" s="196"/>
      <c r="G186" s="196"/>
      <c r="H186" s="14"/>
      <c r="I186" s="14"/>
      <c r="J186" s="14"/>
      <c r="K186" s="197"/>
      <c r="L186" s="14"/>
    </row>
    <row r="187" spans="1:12" ht="11.25" customHeight="1">
      <c r="A187" s="182"/>
      <c r="B187" s="182"/>
      <c r="C187" s="14" t="s">
        <v>262</v>
      </c>
      <c r="D187" s="205" t="s">
        <v>263</v>
      </c>
      <c r="E187" s="14" t="s">
        <v>403</v>
      </c>
      <c r="F187" s="196">
        <v>50000000</v>
      </c>
      <c r="G187" s="196">
        <v>1044</v>
      </c>
      <c r="H187" s="14" t="s">
        <v>404</v>
      </c>
      <c r="I187" s="196">
        <f t="shared" ref="I187:I188" si="30">(F187*G187)/1000000</f>
        <v>52200</v>
      </c>
      <c r="J187" s="14"/>
      <c r="K187" s="197"/>
      <c r="L187" s="14"/>
    </row>
    <row r="188" spans="1:12" ht="11.25" customHeight="1">
      <c r="A188" s="182"/>
      <c r="B188" s="182"/>
      <c r="C188" s="14" t="s">
        <v>264</v>
      </c>
      <c r="D188" s="205" t="s">
        <v>265</v>
      </c>
      <c r="E188" s="14" t="s">
        <v>403</v>
      </c>
      <c r="F188" s="196">
        <v>51000000</v>
      </c>
      <c r="G188" s="196">
        <v>1044</v>
      </c>
      <c r="H188" s="14" t="s">
        <v>404</v>
      </c>
      <c r="I188" s="196">
        <f t="shared" si="30"/>
        <v>53244</v>
      </c>
      <c r="J188" s="14"/>
      <c r="K188" s="197"/>
      <c r="L188" s="14"/>
    </row>
    <row r="189" spans="1:12" ht="12.75" customHeight="1">
      <c r="A189" s="182"/>
      <c r="B189" s="182"/>
      <c r="C189" s="14"/>
      <c r="D189" s="183"/>
      <c r="E189" s="14"/>
      <c r="F189" s="208">
        <f>SUM(F187:F188)</f>
        <v>101000000</v>
      </c>
      <c r="G189" s="196"/>
      <c r="H189" s="14"/>
      <c r="I189" s="196"/>
      <c r="J189" s="14"/>
      <c r="K189" s="197"/>
      <c r="L189" s="14"/>
    </row>
    <row r="190" spans="1:12" ht="11.25" customHeight="1">
      <c r="A190" s="182"/>
      <c r="B190" s="182"/>
      <c r="C190" s="14"/>
      <c r="D190" s="14"/>
      <c r="E190" s="14"/>
      <c r="F190" s="196"/>
      <c r="G190" s="196"/>
      <c r="H190" s="14"/>
      <c r="I190" s="196"/>
      <c r="J190" s="14"/>
      <c r="K190" s="197"/>
      <c r="L190" s="14"/>
    </row>
    <row r="191" spans="1:12" ht="12.75" customHeight="1">
      <c r="A191" s="182"/>
      <c r="B191" s="204" t="s">
        <v>266</v>
      </c>
      <c r="C191" s="187" t="s">
        <v>267</v>
      </c>
      <c r="D191" s="14"/>
      <c r="E191" s="14"/>
      <c r="F191" s="196"/>
      <c r="G191" s="196"/>
      <c r="H191" s="14"/>
      <c r="I191" s="202"/>
      <c r="J191" s="14"/>
      <c r="K191" s="197"/>
      <c r="L191" s="14"/>
    </row>
    <row r="192" spans="1:12" ht="11.25" customHeight="1">
      <c r="A192" s="182"/>
      <c r="B192" s="182"/>
      <c r="C192" s="14" t="s">
        <v>268</v>
      </c>
      <c r="D192" s="205" t="s">
        <v>257</v>
      </c>
      <c r="E192" s="14" t="s">
        <v>405</v>
      </c>
      <c r="F192" s="196">
        <v>23884500</v>
      </c>
      <c r="G192" s="196">
        <v>1052</v>
      </c>
      <c r="H192" s="14" t="s">
        <v>404</v>
      </c>
      <c r="I192" s="196">
        <f t="shared" ref="I192:I199" si="31">(F192*G192)/1000000</f>
        <v>25126.493999999999</v>
      </c>
      <c r="J192" s="14"/>
      <c r="K192" s="197"/>
      <c r="L192" s="14"/>
    </row>
    <row r="193" spans="1:12" ht="11.25" customHeight="1">
      <c r="A193" s="182"/>
      <c r="B193" s="182"/>
      <c r="C193" s="14" t="s">
        <v>270</v>
      </c>
      <c r="D193" s="205" t="s">
        <v>259</v>
      </c>
      <c r="E193" s="14" t="s">
        <v>405</v>
      </c>
      <c r="F193" s="196">
        <v>35159000</v>
      </c>
      <c r="G193" s="196">
        <v>1050</v>
      </c>
      <c r="H193" s="14" t="s">
        <v>404</v>
      </c>
      <c r="I193" s="196">
        <f t="shared" si="31"/>
        <v>36916.949999999997</v>
      </c>
      <c r="J193" s="14"/>
      <c r="K193" s="197"/>
      <c r="L193" s="14"/>
    </row>
    <row r="194" spans="1:12" ht="12.75" customHeight="1">
      <c r="A194" s="182"/>
      <c r="B194" s="182"/>
      <c r="C194" s="14" t="s">
        <v>312</v>
      </c>
      <c r="D194" s="205" t="s">
        <v>276</v>
      </c>
      <c r="E194" s="14" t="s">
        <v>405</v>
      </c>
      <c r="F194" s="196">
        <v>2232939000</v>
      </c>
      <c r="G194" s="196">
        <v>1040</v>
      </c>
      <c r="H194" s="14" t="s">
        <v>404</v>
      </c>
      <c r="I194" s="196">
        <f t="shared" si="31"/>
        <v>2322256.56</v>
      </c>
      <c r="J194" s="206">
        <v>4124736</v>
      </c>
      <c r="K194" s="207">
        <v>272718</v>
      </c>
      <c r="L194" s="14"/>
    </row>
    <row r="195" spans="1:12" ht="12.75" customHeight="1">
      <c r="A195" s="182"/>
      <c r="B195" s="182"/>
      <c r="C195" s="14" t="s">
        <v>314</v>
      </c>
      <c r="D195" s="205" t="s">
        <v>313</v>
      </c>
      <c r="E195" s="14" t="s">
        <v>405</v>
      </c>
      <c r="F195" s="196">
        <v>2865514000</v>
      </c>
      <c r="G195" s="196">
        <v>1041</v>
      </c>
      <c r="H195" s="14" t="s">
        <v>404</v>
      </c>
      <c r="I195" s="196">
        <f t="shared" si="31"/>
        <v>2983000.074</v>
      </c>
      <c r="J195" s="206">
        <v>4412283</v>
      </c>
      <c r="K195" s="207">
        <v>279485</v>
      </c>
      <c r="L195" s="14"/>
    </row>
    <row r="196" spans="1:12" ht="12.75" customHeight="1">
      <c r="A196" s="182"/>
      <c r="B196" s="182"/>
      <c r="C196" s="14" t="s">
        <v>318</v>
      </c>
      <c r="D196" s="205" t="s">
        <v>319</v>
      </c>
      <c r="E196" s="14" t="s">
        <v>405</v>
      </c>
      <c r="F196" s="196">
        <v>151803000</v>
      </c>
      <c r="G196" s="196">
        <v>1044</v>
      </c>
      <c r="H196" s="14" t="s">
        <v>404</v>
      </c>
      <c r="I196" s="196">
        <f t="shared" si="31"/>
        <v>158482.33199999999</v>
      </c>
      <c r="J196" s="206">
        <v>223457</v>
      </c>
      <c r="K196" s="207">
        <v>13612</v>
      </c>
      <c r="L196" s="14"/>
    </row>
    <row r="197" spans="1:12" ht="12.75" customHeight="1">
      <c r="A197" s="182"/>
      <c r="B197" s="182"/>
      <c r="C197" s="14" t="s">
        <v>320</v>
      </c>
      <c r="D197" s="205" t="s">
        <v>321</v>
      </c>
      <c r="E197" s="14" t="s">
        <v>405</v>
      </c>
      <c r="F197" s="196">
        <v>150036000</v>
      </c>
      <c r="G197" s="196">
        <v>1044</v>
      </c>
      <c r="H197" s="14" t="s">
        <v>404</v>
      </c>
      <c r="I197" s="196">
        <f t="shared" si="31"/>
        <v>156637.584</v>
      </c>
      <c r="J197" s="206">
        <v>237292</v>
      </c>
      <c r="K197" s="207">
        <v>14539</v>
      </c>
      <c r="L197" s="14"/>
    </row>
    <row r="198" spans="1:12" ht="12.75" customHeight="1">
      <c r="A198" s="182"/>
      <c r="B198" s="182"/>
      <c r="C198" s="14" t="s">
        <v>322</v>
      </c>
      <c r="D198" s="205" t="s">
        <v>323</v>
      </c>
      <c r="E198" s="14" t="s">
        <v>405</v>
      </c>
      <c r="F198" s="196">
        <v>135210000</v>
      </c>
      <c r="G198" s="196">
        <v>1044</v>
      </c>
      <c r="H198" s="14" t="s">
        <v>404</v>
      </c>
      <c r="I198" s="196">
        <f t="shared" si="31"/>
        <v>141159.24</v>
      </c>
      <c r="J198" s="206">
        <v>290042</v>
      </c>
      <c r="K198" s="207">
        <v>17585</v>
      </c>
      <c r="L198" s="14"/>
    </row>
    <row r="199" spans="1:12" ht="12.75" customHeight="1">
      <c r="A199" s="182"/>
      <c r="B199" s="182"/>
      <c r="C199" s="14" t="s">
        <v>324</v>
      </c>
      <c r="D199" s="205" t="s">
        <v>325</v>
      </c>
      <c r="E199" s="14" t="s">
        <v>405</v>
      </c>
      <c r="F199" s="196">
        <v>178511000</v>
      </c>
      <c r="G199" s="196">
        <v>1043</v>
      </c>
      <c r="H199" s="14" t="s">
        <v>404</v>
      </c>
      <c r="I199" s="196">
        <f t="shared" si="31"/>
        <v>186186.973</v>
      </c>
      <c r="J199" s="206">
        <v>311222</v>
      </c>
      <c r="K199" s="207">
        <v>19063</v>
      </c>
      <c r="L199" s="14"/>
    </row>
    <row r="200" spans="1:12" ht="12.75" customHeight="1">
      <c r="A200" s="182"/>
      <c r="B200" s="182"/>
      <c r="C200" s="14"/>
      <c r="D200" s="183"/>
      <c r="E200" s="14"/>
      <c r="F200" s="208">
        <f>SUM(F192:F199)</f>
        <v>5773056500</v>
      </c>
      <c r="G200" s="196"/>
      <c r="H200" s="14"/>
      <c r="I200" s="202"/>
      <c r="J200" s="208">
        <f t="shared" ref="J200:K200" si="32">SUM(J194:J199)</f>
        <v>9599032</v>
      </c>
      <c r="K200" s="209">
        <f t="shared" si="32"/>
        <v>617002</v>
      </c>
      <c r="L200" s="14"/>
    </row>
    <row r="201" spans="1:12" ht="12.75" customHeight="1">
      <c r="A201" s="182"/>
      <c r="B201" s="182"/>
      <c r="C201" s="14"/>
      <c r="D201" s="14"/>
      <c r="E201" s="14"/>
      <c r="F201" s="196"/>
      <c r="G201" s="196"/>
      <c r="H201" s="14"/>
      <c r="I201" s="196"/>
      <c r="J201" s="196"/>
      <c r="K201" s="207"/>
      <c r="L201" s="14"/>
    </row>
    <row r="202" spans="1:12" ht="12.75" customHeight="1">
      <c r="A202" s="182"/>
      <c r="B202" s="204" t="s">
        <v>406</v>
      </c>
      <c r="C202" s="187" t="s">
        <v>407</v>
      </c>
      <c r="D202" s="14"/>
      <c r="E202" s="14"/>
      <c r="F202" s="196"/>
      <c r="G202" s="196"/>
      <c r="H202" s="14"/>
      <c r="I202" s="196"/>
      <c r="J202" s="196"/>
      <c r="K202" s="207"/>
      <c r="L202" s="14"/>
    </row>
    <row r="203" spans="1:12" ht="12.75" customHeight="1">
      <c r="A203" s="182"/>
      <c r="B203" s="182"/>
      <c r="C203" s="14" t="s">
        <v>408</v>
      </c>
      <c r="D203" s="198" t="s">
        <v>409</v>
      </c>
      <c r="E203" s="14" t="s">
        <v>405</v>
      </c>
      <c r="F203" s="208">
        <v>446473000</v>
      </c>
      <c r="G203" s="196">
        <v>1050</v>
      </c>
      <c r="H203" s="14" t="s">
        <v>400</v>
      </c>
      <c r="I203" s="196">
        <f>(F203*G203)/1000000</f>
        <v>468796.65</v>
      </c>
      <c r="J203" s="206">
        <v>185898</v>
      </c>
      <c r="K203" s="207">
        <v>14593</v>
      </c>
      <c r="L203" s="14"/>
    </row>
    <row r="204" spans="1:12" ht="12.75" customHeight="1">
      <c r="A204" s="182"/>
      <c r="B204" s="182"/>
      <c r="C204" s="14"/>
      <c r="D204" s="14"/>
      <c r="E204" s="14"/>
      <c r="F204" s="196"/>
      <c r="G204" s="196"/>
      <c r="H204" s="14"/>
      <c r="I204" s="196"/>
      <c r="J204" s="196"/>
      <c r="K204" s="207"/>
      <c r="L204" s="14"/>
    </row>
    <row r="205" spans="1:12" ht="12.75" customHeight="1">
      <c r="A205" s="182"/>
      <c r="B205" s="204" t="s">
        <v>271</v>
      </c>
      <c r="C205" s="187" t="s">
        <v>272</v>
      </c>
      <c r="D205" s="14"/>
      <c r="E205" s="14"/>
      <c r="F205" s="196"/>
      <c r="G205" s="196"/>
      <c r="H205" s="14"/>
      <c r="I205" s="196"/>
      <c r="J205" s="196"/>
      <c r="K205" s="207"/>
      <c r="L205" s="14"/>
    </row>
    <row r="206" spans="1:12" ht="12.75" customHeight="1">
      <c r="A206" s="182"/>
      <c r="B206" s="182"/>
      <c r="C206" s="14" t="s">
        <v>383</v>
      </c>
      <c r="D206" s="198" t="s">
        <v>257</v>
      </c>
      <c r="E206" s="14" t="s">
        <v>405</v>
      </c>
      <c r="F206" s="196">
        <v>361000000</v>
      </c>
      <c r="G206" s="196">
        <v>1044</v>
      </c>
      <c r="H206" s="14" t="s">
        <v>410</v>
      </c>
      <c r="I206" s="196">
        <f t="shared" ref="I206:I209" si="33">(F206*G206)/1000000</f>
        <v>376884</v>
      </c>
      <c r="J206" s="206">
        <v>565015</v>
      </c>
      <c r="K206" s="207">
        <v>38237</v>
      </c>
      <c r="L206" s="14"/>
    </row>
    <row r="207" spans="1:12" ht="12.75" customHeight="1">
      <c r="A207" s="182"/>
      <c r="B207" s="182"/>
      <c r="C207" s="14" t="s">
        <v>273</v>
      </c>
      <c r="D207" s="198" t="s">
        <v>259</v>
      </c>
      <c r="E207" s="14" t="s">
        <v>403</v>
      </c>
      <c r="F207" s="196">
        <v>52000000</v>
      </c>
      <c r="G207" s="196">
        <v>1044</v>
      </c>
      <c r="H207" s="14" t="s">
        <v>410</v>
      </c>
      <c r="I207" s="196">
        <f t="shared" si="33"/>
        <v>54288</v>
      </c>
      <c r="J207" s="196"/>
      <c r="K207" s="207"/>
      <c r="L207" s="14"/>
    </row>
    <row r="208" spans="1:12" ht="12.75" customHeight="1">
      <c r="A208" s="182"/>
      <c r="B208" s="182"/>
      <c r="C208" s="14" t="s">
        <v>275</v>
      </c>
      <c r="D208" s="198" t="s">
        <v>276</v>
      </c>
      <c r="E208" s="14" t="s">
        <v>403</v>
      </c>
      <c r="F208" s="196">
        <v>161000000</v>
      </c>
      <c r="G208" s="196">
        <v>1044</v>
      </c>
      <c r="H208" s="14" t="s">
        <v>410</v>
      </c>
      <c r="I208" s="196">
        <f t="shared" si="33"/>
        <v>168084</v>
      </c>
      <c r="J208" s="196"/>
      <c r="K208" s="207"/>
      <c r="L208" s="14"/>
    </row>
    <row r="209" spans="1:12" ht="12.75" customHeight="1">
      <c r="A209" s="182"/>
      <c r="B209" s="182"/>
      <c r="C209" s="14" t="s">
        <v>385</v>
      </c>
      <c r="D209" s="198" t="s">
        <v>386</v>
      </c>
      <c r="E209" s="14" t="s">
        <v>403</v>
      </c>
      <c r="F209" s="196">
        <v>57000000</v>
      </c>
      <c r="G209" s="196">
        <v>1044</v>
      </c>
      <c r="H209" s="14" t="s">
        <v>410</v>
      </c>
      <c r="I209" s="196">
        <f t="shared" si="33"/>
        <v>59508</v>
      </c>
      <c r="J209" s="196"/>
      <c r="K209" s="207"/>
      <c r="L209" s="14"/>
    </row>
    <row r="210" spans="1:12" ht="12.75" customHeight="1">
      <c r="A210" s="182"/>
      <c r="B210" s="182"/>
      <c r="C210" s="14"/>
      <c r="D210" s="14"/>
      <c r="E210" s="14"/>
      <c r="F210" s="208">
        <f>SUM(F206:F209)</f>
        <v>631000000</v>
      </c>
      <c r="G210" s="196"/>
      <c r="H210" s="14"/>
      <c r="I210" s="208">
        <f>SUM(I206:I209)</f>
        <v>658764</v>
      </c>
      <c r="J210" s="202"/>
      <c r="K210" s="207"/>
      <c r="L210" s="14"/>
    </row>
    <row r="211" spans="1:12" ht="12.75" customHeight="1">
      <c r="A211" s="182"/>
      <c r="B211" s="182"/>
      <c r="C211" s="14"/>
      <c r="D211" s="14"/>
      <c r="E211" s="14"/>
      <c r="F211" s="196"/>
      <c r="G211" s="196"/>
      <c r="H211" s="14"/>
      <c r="I211" s="202"/>
      <c r="J211" s="202"/>
      <c r="K211" s="207"/>
      <c r="L211" s="14"/>
    </row>
    <row r="212" spans="1:12" ht="12.75" customHeight="1">
      <c r="A212" s="182"/>
      <c r="B212" s="182"/>
      <c r="C212" s="14"/>
      <c r="D212" s="14"/>
      <c r="E212" s="14"/>
      <c r="F212" s="196"/>
      <c r="G212" s="196"/>
      <c r="H212" s="14"/>
      <c r="I212" s="14"/>
      <c r="J212" s="14"/>
      <c r="K212" s="207"/>
      <c r="L212" s="14"/>
    </row>
    <row r="213" spans="1:12" ht="12.75" customHeight="1">
      <c r="A213" s="182"/>
      <c r="B213" s="204" t="s">
        <v>330</v>
      </c>
      <c r="C213" s="187" t="s">
        <v>331</v>
      </c>
      <c r="D213" s="14"/>
      <c r="E213" s="14"/>
      <c r="F213" s="196"/>
      <c r="G213" s="196"/>
      <c r="H213" s="14"/>
      <c r="I213" s="196"/>
      <c r="J213" s="196"/>
      <c r="K213" s="207"/>
      <c r="L213" s="14"/>
    </row>
    <row r="214" spans="1:12" ht="12.75" customHeight="1">
      <c r="A214" s="182"/>
      <c r="B214" s="182"/>
      <c r="C214" s="14" t="s">
        <v>332</v>
      </c>
      <c r="D214" s="198" t="s">
        <v>333</v>
      </c>
      <c r="E214" s="14" t="s">
        <v>405</v>
      </c>
      <c r="F214" s="208">
        <v>550000000</v>
      </c>
      <c r="G214" s="196">
        <v>1044</v>
      </c>
      <c r="H214" s="14" t="s">
        <v>410</v>
      </c>
      <c r="I214" s="196">
        <f>(F214*G214)/1000000</f>
        <v>574200</v>
      </c>
      <c r="J214" s="206">
        <v>620987</v>
      </c>
      <c r="K214" s="207">
        <v>38852</v>
      </c>
      <c r="L214" s="14"/>
    </row>
    <row r="215" spans="1:12" ht="12.75" customHeight="1">
      <c r="A215" s="182"/>
      <c r="B215" s="182"/>
      <c r="C215" s="14"/>
      <c r="D215" s="14"/>
      <c r="E215" s="14"/>
      <c r="F215" s="196"/>
      <c r="G215" s="196"/>
      <c r="H215" s="14"/>
      <c r="I215" s="202"/>
      <c r="J215" s="202"/>
      <c r="K215" s="207"/>
      <c r="L215" s="14"/>
    </row>
    <row r="216" spans="1:12" ht="12.75" customHeight="1">
      <c r="A216" s="182"/>
      <c r="B216" s="204" t="s">
        <v>344</v>
      </c>
      <c r="C216" s="187" t="s">
        <v>345</v>
      </c>
      <c r="D216" s="14"/>
      <c r="E216" s="14"/>
      <c r="F216" s="196"/>
      <c r="G216" s="196"/>
      <c r="H216" s="14"/>
      <c r="I216" s="14"/>
      <c r="J216" s="14"/>
      <c r="K216" s="207"/>
      <c r="L216" s="14"/>
    </row>
    <row r="217" spans="1:12" ht="12.75" customHeight="1">
      <c r="A217" s="182"/>
      <c r="B217" s="182"/>
      <c r="C217" s="14" t="s">
        <v>374</v>
      </c>
      <c r="D217" s="198" t="s">
        <v>375</v>
      </c>
      <c r="E217" s="14" t="s">
        <v>405</v>
      </c>
      <c r="F217" s="196">
        <v>53000000</v>
      </c>
      <c r="G217" s="196">
        <v>1044</v>
      </c>
      <c r="H217" s="14" t="s">
        <v>411</v>
      </c>
      <c r="I217" s="208">
        <f t="shared" ref="I217:I218" si="34">(F217*G217)/1000000</f>
        <v>55332</v>
      </c>
      <c r="J217" s="202"/>
      <c r="K217" s="207"/>
      <c r="L217" s="14"/>
    </row>
    <row r="218" spans="1:12" ht="12.75" customHeight="1">
      <c r="A218" s="182"/>
      <c r="B218" s="182"/>
      <c r="C218" s="14" t="s">
        <v>412</v>
      </c>
      <c r="D218" s="198" t="s">
        <v>413</v>
      </c>
      <c r="E218" s="14" t="s">
        <v>405</v>
      </c>
      <c r="F218" s="196">
        <v>164000000</v>
      </c>
      <c r="G218" s="196">
        <v>1044</v>
      </c>
      <c r="H218" s="14" t="s">
        <v>411</v>
      </c>
      <c r="I218" s="202">
        <f t="shared" si="34"/>
        <v>171216</v>
      </c>
      <c r="J218" s="206">
        <v>177348</v>
      </c>
      <c r="K218" s="207">
        <v>10540</v>
      </c>
      <c r="L218" s="14"/>
    </row>
    <row r="219" spans="1:12" ht="12.75" customHeight="1">
      <c r="A219" s="182"/>
      <c r="B219" s="182"/>
      <c r="C219" s="14"/>
      <c r="D219" s="198"/>
      <c r="E219" s="14"/>
      <c r="F219" s="208">
        <f>SUM(F217:F218)</f>
        <v>217000000</v>
      </c>
      <c r="G219" s="196"/>
      <c r="H219" s="14"/>
      <c r="I219" s="202"/>
      <c r="J219" s="206"/>
      <c r="K219" s="207"/>
      <c r="L219" s="14"/>
    </row>
    <row r="220" spans="1:12" ht="12.75" customHeight="1">
      <c r="A220" s="182"/>
      <c r="B220" s="182"/>
      <c r="C220" s="14"/>
      <c r="D220" s="14"/>
      <c r="E220" s="234"/>
      <c r="F220" s="196"/>
      <c r="G220" s="196"/>
      <c r="H220" s="234"/>
      <c r="I220" s="196"/>
      <c r="J220" s="196"/>
      <c r="K220" s="207"/>
      <c r="L220" s="14"/>
    </row>
    <row r="221" spans="1:12" ht="12.75" customHeight="1">
      <c r="A221" s="182"/>
      <c r="B221" s="204" t="s">
        <v>414</v>
      </c>
      <c r="C221" s="187" t="s">
        <v>415</v>
      </c>
      <c r="D221" s="14"/>
      <c r="E221" s="14"/>
      <c r="F221" s="196"/>
      <c r="G221" s="196"/>
      <c r="H221" s="14"/>
      <c r="I221" s="196"/>
      <c r="J221" s="196"/>
      <c r="K221" s="207"/>
      <c r="L221" s="14"/>
    </row>
    <row r="222" spans="1:12" ht="12.75" customHeight="1">
      <c r="A222" s="182"/>
      <c r="B222" s="182"/>
      <c r="C222" s="14" t="s">
        <v>416</v>
      </c>
      <c r="D222" s="198" t="s">
        <v>417</v>
      </c>
      <c r="E222" s="14" t="s">
        <v>405</v>
      </c>
      <c r="F222" s="208">
        <v>91000000</v>
      </c>
      <c r="G222" s="196">
        <v>1044</v>
      </c>
      <c r="H222" s="14" t="s">
        <v>411</v>
      </c>
      <c r="I222" s="208">
        <f>(F222*G222)/1000000</f>
        <v>95004</v>
      </c>
      <c r="J222" s="206">
        <v>103000</v>
      </c>
      <c r="K222" s="207">
        <v>5665</v>
      </c>
      <c r="L222" s="14"/>
    </row>
    <row r="223" spans="1:12" ht="12.75" customHeight="1">
      <c r="A223" s="182"/>
      <c r="B223" s="182"/>
      <c r="C223" s="14"/>
      <c r="D223" s="14"/>
      <c r="E223" s="234"/>
      <c r="F223" s="196"/>
      <c r="G223" s="196"/>
      <c r="H223" s="234"/>
      <c r="I223" s="196"/>
      <c r="J223" s="196"/>
      <c r="K223" s="207"/>
      <c r="L223" s="14"/>
    </row>
    <row r="224" spans="1:12" ht="12.75" customHeight="1">
      <c r="A224" s="182"/>
      <c r="B224" s="182" t="s">
        <v>355</v>
      </c>
      <c r="C224" s="211" t="s">
        <v>356</v>
      </c>
      <c r="D224" s="183"/>
      <c r="E224" s="14"/>
      <c r="F224" s="196"/>
      <c r="G224" s="196"/>
      <c r="H224" s="14"/>
      <c r="I224" s="196"/>
      <c r="J224" s="196"/>
      <c r="K224" s="207"/>
      <c r="L224" s="14"/>
    </row>
    <row r="225" spans="1:12" ht="12.75" customHeight="1">
      <c r="A225" s="182"/>
      <c r="B225" s="182"/>
      <c r="C225" s="14" t="s">
        <v>357</v>
      </c>
      <c r="D225" s="183" t="s">
        <v>358</v>
      </c>
      <c r="E225" s="14" t="s">
        <v>405</v>
      </c>
      <c r="F225" s="196">
        <v>481631000</v>
      </c>
      <c r="G225" s="196">
        <v>1035</v>
      </c>
      <c r="H225" s="14" t="s">
        <v>411</v>
      </c>
      <c r="I225" s="196">
        <f t="shared" ref="I225:I226" si="35">(F225*G225)/1000000</f>
        <v>498488.08500000002</v>
      </c>
      <c r="J225" s="206">
        <v>413560</v>
      </c>
      <c r="K225" s="207">
        <v>24853</v>
      </c>
      <c r="L225" s="14"/>
    </row>
    <row r="226" spans="1:12" ht="12.75" customHeight="1">
      <c r="A226" s="182"/>
      <c r="B226" s="182"/>
      <c r="C226" s="14" t="s">
        <v>359</v>
      </c>
      <c r="D226" s="183" t="s">
        <v>360</v>
      </c>
      <c r="E226" s="14" t="s">
        <v>405</v>
      </c>
      <c r="F226" s="196">
        <v>409949000</v>
      </c>
      <c r="G226" s="196">
        <v>1035</v>
      </c>
      <c r="H226" s="14" t="s">
        <v>411</v>
      </c>
      <c r="I226" s="196">
        <f t="shared" si="35"/>
        <v>424297.21500000003</v>
      </c>
      <c r="J226" s="206">
        <v>403584</v>
      </c>
      <c r="K226" s="207">
        <v>24246</v>
      </c>
      <c r="L226" s="14"/>
    </row>
    <row r="227" spans="1:12" ht="12.75" customHeight="1">
      <c r="A227" s="182"/>
      <c r="B227" s="182"/>
      <c r="C227" s="14"/>
      <c r="D227" s="14"/>
      <c r="E227" s="14"/>
      <c r="F227" s="208">
        <f>SUM(F225:F226)</f>
        <v>891580000</v>
      </c>
      <c r="G227" s="196"/>
      <c r="H227" s="14"/>
      <c r="I227" s="14"/>
      <c r="J227" s="208">
        <f t="shared" ref="J227:K227" si="36">SUM(J225:J226)</f>
        <v>817144</v>
      </c>
      <c r="K227" s="209">
        <f t="shared" si="36"/>
        <v>49099</v>
      </c>
      <c r="L227" s="14"/>
    </row>
    <row r="228" spans="1:12" ht="12.75" customHeight="1">
      <c r="A228" s="182"/>
      <c r="B228" s="182" t="s">
        <v>418</v>
      </c>
      <c r="C228" s="187" t="s">
        <v>419</v>
      </c>
      <c r="D228" s="14"/>
      <c r="E228" s="14"/>
      <c r="F228" s="196"/>
      <c r="G228" s="196"/>
      <c r="H228" s="14"/>
      <c r="I228" s="14"/>
      <c r="J228" s="14"/>
      <c r="K228" s="207"/>
      <c r="L228" s="14"/>
    </row>
    <row r="229" spans="1:12" ht="12.75" customHeight="1">
      <c r="A229" s="182"/>
      <c r="B229" s="182"/>
      <c r="C229" s="212" t="s">
        <v>420</v>
      </c>
      <c r="D229" s="205">
        <v>1</v>
      </c>
      <c r="E229" s="14" t="s">
        <v>399</v>
      </c>
      <c r="F229" s="196">
        <v>2373289.27</v>
      </c>
      <c r="G229" s="245">
        <v>1.044</v>
      </c>
      <c r="H229" s="14" t="s">
        <v>421</v>
      </c>
      <c r="I229" s="196">
        <f t="shared" ref="I229:I230" si="37">(F229*G229)</f>
        <v>2477713.9978800002</v>
      </c>
      <c r="J229" s="206">
        <v>2477714</v>
      </c>
      <c r="K229" s="207">
        <v>90209</v>
      </c>
      <c r="L229" s="14"/>
    </row>
    <row r="230" spans="1:12" ht="12.75" customHeight="1">
      <c r="A230" s="182"/>
      <c r="B230" s="182"/>
      <c r="C230" s="212" t="s">
        <v>422</v>
      </c>
      <c r="D230" s="205">
        <v>2</v>
      </c>
      <c r="E230" s="14" t="s">
        <v>399</v>
      </c>
      <c r="F230" s="196">
        <v>1473520.11</v>
      </c>
      <c r="G230" s="245">
        <v>1.044</v>
      </c>
      <c r="H230" s="14" t="s">
        <v>423</v>
      </c>
      <c r="I230" s="196">
        <f t="shared" si="37"/>
        <v>1538354.9948400001</v>
      </c>
      <c r="J230" s="206">
        <v>1538356</v>
      </c>
      <c r="K230" s="207">
        <v>69247</v>
      </c>
      <c r="L230" s="14"/>
    </row>
    <row r="231" spans="1:12" ht="12.75" customHeight="1">
      <c r="A231" s="182"/>
      <c r="B231" s="182"/>
      <c r="C231" s="212"/>
      <c r="D231" s="183"/>
      <c r="E231" s="14"/>
      <c r="F231" s="208">
        <f>SUM(F229:F230)</f>
        <v>3846809.38</v>
      </c>
      <c r="G231" s="196"/>
      <c r="H231" s="14"/>
      <c r="I231" s="196"/>
      <c r="J231" s="208">
        <f t="shared" ref="J231:K231" si="38">SUM(J229:J230)</f>
        <v>4016070</v>
      </c>
      <c r="K231" s="209">
        <f t="shared" si="38"/>
        <v>159456</v>
      </c>
      <c r="L231" s="14"/>
    </row>
    <row r="232" spans="1:12" ht="12.75" customHeight="1">
      <c r="A232" s="182"/>
      <c r="B232" s="182"/>
      <c r="C232" s="14"/>
      <c r="D232" s="14"/>
      <c r="E232" s="14"/>
      <c r="F232" s="196"/>
      <c r="G232" s="196"/>
      <c r="H232" s="14"/>
      <c r="I232" s="14"/>
      <c r="J232" s="14"/>
      <c r="K232" s="207"/>
      <c r="L232" s="14"/>
    </row>
    <row r="233" spans="1:12" ht="12.75" customHeight="1">
      <c r="A233" s="182"/>
      <c r="B233" s="182" t="s">
        <v>424</v>
      </c>
      <c r="C233" s="187" t="s">
        <v>425</v>
      </c>
      <c r="D233" s="14"/>
      <c r="E233" s="14"/>
      <c r="F233" s="196"/>
      <c r="G233" s="196"/>
      <c r="H233" s="14"/>
      <c r="I233" s="14"/>
      <c r="J233" s="14"/>
      <c r="K233" s="207"/>
      <c r="L233" s="14"/>
    </row>
    <row r="234" spans="1:12" ht="12.75" customHeight="1">
      <c r="A234" s="182"/>
      <c r="B234" s="182"/>
      <c r="C234" s="14" t="s">
        <v>426</v>
      </c>
      <c r="D234" s="198" t="s">
        <v>427</v>
      </c>
      <c r="E234" s="14" t="s">
        <v>399</v>
      </c>
      <c r="F234" s="196">
        <v>317189.6551724138</v>
      </c>
      <c r="G234" s="245">
        <v>1.044</v>
      </c>
      <c r="H234" s="14" t="s">
        <v>423</v>
      </c>
      <c r="I234" s="196">
        <f t="shared" ref="I234:I237" si="39">(F234*G234)</f>
        <v>331146</v>
      </c>
      <c r="J234" s="206">
        <v>331146</v>
      </c>
      <c r="K234" s="207">
        <v>19679</v>
      </c>
      <c r="L234" s="14"/>
    </row>
    <row r="235" spans="1:12" ht="12.75" customHeight="1">
      <c r="A235" s="182"/>
      <c r="B235" s="182"/>
      <c r="C235" s="14" t="s">
        <v>428</v>
      </c>
      <c r="D235" s="198" t="s">
        <v>429</v>
      </c>
      <c r="E235" s="14" t="s">
        <v>399</v>
      </c>
      <c r="F235" s="196">
        <v>315825.67049808428</v>
      </c>
      <c r="G235" s="245">
        <v>1.044</v>
      </c>
      <c r="H235" s="14" t="s">
        <v>423</v>
      </c>
      <c r="I235" s="196">
        <f t="shared" si="39"/>
        <v>329722</v>
      </c>
      <c r="J235" s="206">
        <v>329722</v>
      </c>
      <c r="K235" s="207">
        <v>19595</v>
      </c>
      <c r="L235" s="14"/>
    </row>
    <row r="236" spans="1:12" ht="12.75" customHeight="1">
      <c r="A236" s="182"/>
      <c r="B236" s="182"/>
      <c r="C236" s="14" t="s">
        <v>430</v>
      </c>
      <c r="D236" s="198" t="s">
        <v>431</v>
      </c>
      <c r="E236" s="14" t="s">
        <v>399</v>
      </c>
      <c r="F236" s="196">
        <v>274061.30268199235</v>
      </c>
      <c r="G236" s="245">
        <v>1.044</v>
      </c>
      <c r="H236" s="14" t="s">
        <v>423</v>
      </c>
      <c r="I236" s="196">
        <f t="shared" si="39"/>
        <v>286120</v>
      </c>
      <c r="J236" s="206">
        <v>286121</v>
      </c>
      <c r="K236" s="207">
        <v>17004</v>
      </c>
      <c r="L236" s="14"/>
    </row>
    <row r="237" spans="1:12" ht="12.75" customHeight="1">
      <c r="A237" s="182"/>
      <c r="B237" s="182"/>
      <c r="C237" s="14" t="s">
        <v>432</v>
      </c>
      <c r="D237" s="198" t="s">
        <v>433</v>
      </c>
      <c r="E237" s="14" t="s">
        <v>399</v>
      </c>
      <c r="F237" s="196">
        <v>417124.5210727969</v>
      </c>
      <c r="G237" s="245">
        <v>1.044</v>
      </c>
      <c r="H237" s="14" t="s">
        <v>421</v>
      </c>
      <c r="I237" s="196">
        <f t="shared" si="39"/>
        <v>435478</v>
      </c>
      <c r="J237" s="206">
        <v>435478</v>
      </c>
      <c r="K237" s="207">
        <v>25880</v>
      </c>
      <c r="L237" s="14"/>
    </row>
    <row r="238" spans="1:12" ht="12.75" customHeight="1">
      <c r="A238" s="182"/>
      <c r="B238" s="235"/>
      <c r="C238" s="187"/>
      <c r="D238" s="14"/>
      <c r="E238" s="14"/>
      <c r="F238" s="208">
        <f>SUM(F234:F237)</f>
        <v>1324201.1494252873</v>
      </c>
      <c r="G238" s="196"/>
      <c r="H238" s="14"/>
      <c r="I238" s="14"/>
      <c r="J238" s="208">
        <f t="shared" ref="J238:K238" si="40">SUM(J234:J237)</f>
        <v>1382467</v>
      </c>
      <c r="K238" s="209">
        <f t="shared" si="40"/>
        <v>82158</v>
      </c>
      <c r="L238" s="14"/>
    </row>
    <row r="239" spans="1:12" ht="12.75" customHeight="1">
      <c r="A239" s="182"/>
      <c r="B239" s="235"/>
      <c r="C239" s="187"/>
      <c r="D239" s="14"/>
      <c r="E239" s="14"/>
      <c r="F239" s="208"/>
      <c r="G239" s="196"/>
      <c r="H239" s="14"/>
      <c r="I239" s="14"/>
      <c r="J239" s="14"/>
      <c r="K239" s="207"/>
      <c r="L239" s="14"/>
    </row>
    <row r="240" spans="1:12" ht="12.75" customHeight="1">
      <c r="A240" s="182"/>
      <c r="B240" s="235"/>
      <c r="C240" s="187" t="s">
        <v>296</v>
      </c>
      <c r="D240" s="198" t="s">
        <v>297</v>
      </c>
      <c r="E240" s="14" t="s">
        <v>399</v>
      </c>
      <c r="F240" s="208"/>
      <c r="G240" s="196"/>
      <c r="H240" s="14"/>
      <c r="I240" s="14"/>
      <c r="J240" s="206">
        <v>131127.74895404352</v>
      </c>
      <c r="K240" s="207">
        <v>7672.2764339655105</v>
      </c>
      <c r="L240" s="14"/>
    </row>
    <row r="241" spans="1:12" ht="12.75" customHeight="1">
      <c r="A241" s="182"/>
      <c r="B241" s="235"/>
      <c r="C241" s="187"/>
      <c r="D241" s="14"/>
      <c r="E241" s="14"/>
      <c r="F241" s="208"/>
      <c r="G241" s="196"/>
      <c r="H241" s="14"/>
      <c r="I241" s="14"/>
      <c r="J241" s="196"/>
      <c r="K241" s="207"/>
      <c r="L241" s="14"/>
    </row>
    <row r="242" spans="1:12" ht="12.75" customHeight="1">
      <c r="A242" s="182"/>
      <c r="B242" s="235"/>
      <c r="C242" s="187"/>
      <c r="D242" s="14"/>
      <c r="E242" s="14"/>
      <c r="F242" s="208"/>
      <c r="G242" s="196"/>
      <c r="H242" s="14"/>
      <c r="I242" s="14"/>
      <c r="J242" s="196"/>
      <c r="K242" s="207"/>
      <c r="L242" s="14"/>
    </row>
    <row r="243" spans="1:12" ht="12.75" customHeight="1">
      <c r="A243" s="182"/>
      <c r="B243" s="235"/>
      <c r="C243" s="187" t="s">
        <v>434</v>
      </c>
      <c r="D243" s="14"/>
      <c r="E243" s="14" t="s">
        <v>435</v>
      </c>
      <c r="F243" s="208"/>
      <c r="G243" s="196"/>
      <c r="H243" s="14"/>
      <c r="I243" s="14"/>
      <c r="J243" s="206">
        <v>10667544.356418801</v>
      </c>
      <c r="K243" s="207">
        <v>2911339.3126537916</v>
      </c>
      <c r="L243" s="14"/>
    </row>
    <row r="244" spans="1:12" ht="12.75" customHeight="1">
      <c r="A244" s="182"/>
      <c r="B244" s="235"/>
      <c r="C244" s="187"/>
      <c r="D244" s="14"/>
      <c r="E244" s="14" t="s">
        <v>399</v>
      </c>
      <c r="F244" s="208"/>
      <c r="G244" s="196"/>
      <c r="H244" s="14"/>
      <c r="I244" s="14"/>
      <c r="J244" s="206">
        <v>1288772.9418088738</v>
      </c>
      <c r="K244" s="207">
        <v>76940.116313545397</v>
      </c>
      <c r="L244" s="14"/>
    </row>
    <row r="245" spans="1:12" ht="12.75" customHeight="1">
      <c r="A245" s="182"/>
      <c r="B245" s="235"/>
      <c r="C245" s="187"/>
      <c r="D245" s="14"/>
      <c r="E245" s="14"/>
      <c r="F245" s="208"/>
      <c r="G245" s="196"/>
      <c r="H245" s="14"/>
      <c r="I245" s="14"/>
      <c r="J245" s="208">
        <f t="shared" ref="J245:K245" si="41">SUM(J243:J244)</f>
        <v>11956317.298227675</v>
      </c>
      <c r="K245" s="209">
        <f t="shared" si="41"/>
        <v>2988279.4289673371</v>
      </c>
      <c r="L245" s="14"/>
    </row>
    <row r="246" spans="1:12" ht="12.75" customHeight="1">
      <c r="A246" s="182"/>
      <c r="B246" s="235"/>
      <c r="C246" s="187"/>
      <c r="D246" s="14"/>
      <c r="E246" s="14"/>
      <c r="F246" s="208"/>
      <c r="G246" s="196"/>
      <c r="H246" s="14"/>
      <c r="I246" s="14"/>
      <c r="J246" s="14"/>
      <c r="K246" s="207"/>
      <c r="L246" s="14"/>
    </row>
    <row r="247" spans="1:12" ht="12.75" customHeight="1">
      <c r="A247" s="182"/>
      <c r="B247" s="235"/>
      <c r="C247" s="187"/>
      <c r="D247" s="14"/>
      <c r="E247" s="14"/>
      <c r="F247" s="208"/>
      <c r="G247" s="196"/>
      <c r="H247" s="14"/>
      <c r="I247" s="14"/>
      <c r="J247" s="14"/>
      <c r="K247" s="207"/>
      <c r="L247" s="14"/>
    </row>
    <row r="248" spans="1:12" ht="12.75" customHeight="1">
      <c r="A248" s="182"/>
      <c r="B248" s="235"/>
      <c r="C248" s="187"/>
      <c r="D248" s="14"/>
      <c r="E248" s="14"/>
      <c r="F248" s="208"/>
      <c r="G248" s="196"/>
      <c r="H248" s="14"/>
      <c r="I248" s="14"/>
      <c r="J248" s="14"/>
      <c r="K248" s="207"/>
      <c r="L248" s="14"/>
    </row>
    <row r="249" spans="1:12" ht="11.25" customHeight="1">
      <c r="A249" s="182"/>
      <c r="B249" s="182"/>
      <c r="C249" s="14"/>
      <c r="D249" s="14"/>
      <c r="E249" s="14"/>
      <c r="F249" s="14"/>
      <c r="G249" s="14"/>
      <c r="H249" s="14"/>
      <c r="I249" s="14"/>
      <c r="J249" s="14"/>
      <c r="K249" s="197"/>
      <c r="L249" s="14"/>
    </row>
    <row r="250" spans="1:12" ht="12.75" customHeight="1">
      <c r="A250" s="182"/>
      <c r="B250" s="182"/>
      <c r="C250" s="14"/>
      <c r="D250" s="14"/>
      <c r="E250" s="14"/>
      <c r="F250" s="14"/>
      <c r="G250" s="14"/>
      <c r="H250" s="246" t="s">
        <v>436</v>
      </c>
      <c r="I250" s="247"/>
      <c r="J250" s="248">
        <f t="shared" ref="J250:K250" si="42">J245+J240+J238+J231+J227+J222+J218+J214+J206+J203+J200</f>
        <v>29554406.047181718</v>
      </c>
      <c r="K250" s="249">
        <f t="shared" si="42"/>
        <v>4011553.7054013028</v>
      </c>
      <c r="L250" s="14"/>
    </row>
    <row r="251" spans="1:12" ht="12" customHeight="1">
      <c r="A251" s="14"/>
      <c r="B251" s="217"/>
      <c r="C251" s="218"/>
      <c r="D251" s="218"/>
      <c r="E251" s="218"/>
      <c r="F251" s="218"/>
      <c r="G251" s="218"/>
      <c r="H251" s="218"/>
      <c r="I251" s="218"/>
      <c r="J251" s="218"/>
      <c r="K251" s="219"/>
      <c r="L251" s="14"/>
    </row>
    <row r="252" spans="1:12" ht="12" customHeight="1"/>
    <row r="253" spans="1:12" ht="11.25" customHeight="1"/>
    <row r="254" spans="1:12" ht="11.25" customHeight="1"/>
    <row r="255" spans="1:12" ht="21" customHeight="1">
      <c r="B255" s="172" t="s">
        <v>437</v>
      </c>
    </row>
    <row r="256" spans="1:12" ht="21" customHeight="1">
      <c r="B256" s="172" t="s">
        <v>438</v>
      </c>
    </row>
    <row r="257" spans="2:7" ht="12" customHeight="1"/>
    <row r="258" spans="2:7" ht="15" customHeight="1">
      <c r="B258" s="250"/>
      <c r="C258" s="251" t="s">
        <v>439</v>
      </c>
      <c r="D258" s="251" t="s">
        <v>440</v>
      </c>
      <c r="E258" s="251" t="s">
        <v>441</v>
      </c>
      <c r="F258" s="251" t="s">
        <v>442</v>
      </c>
      <c r="G258" s="252" t="s">
        <v>443</v>
      </c>
    </row>
    <row r="259" spans="2:7" ht="15" customHeight="1">
      <c r="B259" s="253"/>
      <c r="C259" s="254"/>
      <c r="D259" s="254" t="s">
        <v>444</v>
      </c>
      <c r="E259" s="254" t="s">
        <v>445</v>
      </c>
      <c r="F259" s="254" t="s">
        <v>446</v>
      </c>
      <c r="G259" s="255" t="s">
        <v>447</v>
      </c>
    </row>
    <row r="260" spans="2:7" ht="12.75" customHeight="1">
      <c r="B260" s="256"/>
      <c r="C260" s="257"/>
      <c r="D260" s="257"/>
      <c r="E260" s="257"/>
      <c r="F260" s="257"/>
      <c r="G260" s="258"/>
    </row>
    <row r="261" spans="2:7" ht="12.75" customHeight="1">
      <c r="B261" s="259" t="s">
        <v>253</v>
      </c>
      <c r="C261" s="260">
        <f t="shared" ref="C261:D261" si="43">J49</f>
        <v>302014703.30619174</v>
      </c>
      <c r="D261" s="260">
        <f t="shared" si="43"/>
        <v>31008128.160822824</v>
      </c>
      <c r="E261" s="260">
        <f>D261*0.9072</f>
        <v>28130573.867498465</v>
      </c>
      <c r="F261" s="261">
        <f>E261/1000000</f>
        <v>28.130573867498466</v>
      </c>
      <c r="G261" s="262">
        <f>F261*(12/44)</f>
        <v>7.6719746911359445</v>
      </c>
    </row>
    <row r="262" spans="2:7" ht="12.75" customHeight="1">
      <c r="B262" s="263"/>
      <c r="C262" s="264"/>
      <c r="D262" s="264"/>
      <c r="E262" s="265"/>
      <c r="F262" s="266"/>
      <c r="G262" s="267"/>
    </row>
    <row r="263" spans="2:7" ht="12.75" customHeight="1">
      <c r="B263" s="263" t="s">
        <v>448</v>
      </c>
      <c r="C263" s="265">
        <f t="shared" ref="C263:D263" si="44">J168</f>
        <v>2537117.1729954593</v>
      </c>
      <c r="D263" s="265">
        <f t="shared" si="44"/>
        <v>212276.2098544967</v>
      </c>
      <c r="E263" s="265">
        <f>D263*0.9072</f>
        <v>192576.97757999939</v>
      </c>
      <c r="F263" s="266">
        <f>E263/1000000</f>
        <v>0.19257697757999939</v>
      </c>
      <c r="G263" s="267">
        <f>F263*(12/44)</f>
        <v>5.2520993885454378E-2</v>
      </c>
    </row>
    <row r="264" spans="2:7" ht="12.75" customHeight="1">
      <c r="B264" s="263"/>
      <c r="C264" s="264"/>
      <c r="D264" s="264"/>
      <c r="E264" s="265"/>
      <c r="F264" s="266"/>
      <c r="G264" s="267"/>
    </row>
    <row r="265" spans="2:7" ht="12.75" customHeight="1">
      <c r="B265" s="263" t="s">
        <v>399</v>
      </c>
      <c r="C265" s="265">
        <f t="shared" ref="C265:D265" si="45">J250</f>
        <v>29554406.047181718</v>
      </c>
      <c r="D265" s="265">
        <f t="shared" si="45"/>
        <v>4011553.7054013028</v>
      </c>
      <c r="E265" s="265">
        <f>D265*0.9072</f>
        <v>3639281.521540062</v>
      </c>
      <c r="F265" s="266">
        <f>E265/1000000</f>
        <v>3.6392815215400622</v>
      </c>
      <c r="G265" s="267">
        <f>F265*(12/44)</f>
        <v>0.99253132405638056</v>
      </c>
    </row>
    <row r="266" spans="2:7" ht="12.75" customHeight="1">
      <c r="B266" s="268"/>
      <c r="C266" s="269"/>
      <c r="D266" s="269"/>
      <c r="E266" s="270"/>
      <c r="F266" s="271"/>
      <c r="G266" s="272"/>
    </row>
    <row r="267" spans="2:7" ht="12.75" customHeight="1">
      <c r="B267" s="273" t="s">
        <v>152</v>
      </c>
      <c r="C267" s="274"/>
      <c r="D267" s="270">
        <f t="shared" ref="D267:E267" si="46">SUM(D261:D266)</f>
        <v>35231958.076078624</v>
      </c>
      <c r="E267" s="270">
        <f t="shared" si="46"/>
        <v>31962432.366618525</v>
      </c>
      <c r="F267" s="271">
        <f>E267/1000000</f>
        <v>31.962432366618525</v>
      </c>
      <c r="G267" s="272">
        <f>SUM(G261:G266)</f>
        <v>8.7170270090777802</v>
      </c>
    </row>
    <row r="268" spans="2:7" ht="12" customHeight="1">
      <c r="B268" s="275"/>
      <c r="C268" s="276"/>
      <c r="D268" s="276"/>
      <c r="E268" s="276"/>
      <c r="F268" s="276"/>
      <c r="G268" s="277"/>
    </row>
    <row r="269" spans="2:7" ht="12" customHeight="1"/>
    <row r="270" spans="2:7" ht="11.25" customHeight="1"/>
    <row r="271" spans="2:7" ht="11.25" customHeight="1"/>
    <row r="272" spans="2:7" ht="11.25" customHeight="1"/>
    <row r="273" spans="2:10" ht="21" customHeight="1">
      <c r="B273" s="172" t="s">
        <v>449</v>
      </c>
    </row>
    <row r="274" spans="2:10" ht="21" customHeight="1">
      <c r="B274" s="172" t="s">
        <v>438</v>
      </c>
      <c r="I274" s="1663" t="s">
        <v>1</v>
      </c>
      <c r="J274" s="1664"/>
    </row>
    <row r="275" spans="2:10" ht="11.25" customHeight="1">
      <c r="I275" s="25"/>
      <c r="J275" s="25"/>
    </row>
    <row r="276" spans="2:10" ht="21" customHeight="1">
      <c r="B276" s="278" t="s">
        <v>450</v>
      </c>
      <c r="C276" s="1"/>
      <c r="D276" s="1"/>
      <c r="E276" s="278">
        <v>2006</v>
      </c>
      <c r="F276" s="1"/>
      <c r="G276" s="1"/>
      <c r="I276" s="26" t="s">
        <v>60</v>
      </c>
      <c r="J276" s="27">
        <f>Summary!E4</f>
        <v>1</v>
      </c>
    </row>
    <row r="277" spans="2:10" ht="13.5" customHeight="1">
      <c r="B277" s="279"/>
      <c r="C277" s="1"/>
      <c r="D277" s="1"/>
      <c r="E277" s="279"/>
      <c r="F277" s="1"/>
      <c r="G277" s="1"/>
      <c r="I277" s="26" t="s">
        <v>62</v>
      </c>
      <c r="J277" s="27">
        <f>Summary!E5</f>
        <v>28</v>
      </c>
    </row>
    <row r="278" spans="2:10" ht="17.25" customHeight="1">
      <c r="B278" s="280"/>
      <c r="C278" s="281" t="s">
        <v>68</v>
      </c>
      <c r="D278" s="282" t="s">
        <v>451</v>
      </c>
      <c r="E278" s="282" t="s">
        <v>95</v>
      </c>
      <c r="F278" s="281" t="s">
        <v>452</v>
      </c>
      <c r="G278" s="283" t="s">
        <v>95</v>
      </c>
      <c r="I278" s="26" t="s">
        <v>63</v>
      </c>
      <c r="J278" s="27">
        <f>Summary!E6</f>
        <v>265</v>
      </c>
    </row>
    <row r="279" spans="2:10" ht="16.5" customHeight="1">
      <c r="B279" s="284" t="s">
        <v>238</v>
      </c>
      <c r="C279" s="285" t="s">
        <v>453</v>
      </c>
      <c r="D279" s="286" t="s">
        <v>454</v>
      </c>
      <c r="E279" s="286" t="s">
        <v>455</v>
      </c>
      <c r="F279" s="285"/>
      <c r="G279" s="287" t="s">
        <v>456</v>
      </c>
      <c r="I279" s="26" t="s">
        <v>65</v>
      </c>
      <c r="J279" s="29">
        <f>Summary!E7</f>
        <v>23500</v>
      </c>
    </row>
    <row r="280" spans="2:10" ht="15" customHeight="1">
      <c r="B280" s="288" t="s">
        <v>253</v>
      </c>
      <c r="C280" s="289">
        <f>J49/1000</f>
        <v>302014.70330619172</v>
      </c>
      <c r="D280" s="290">
        <v>1.0023030599890001E-3</v>
      </c>
      <c r="E280" s="291">
        <f t="shared" ref="E280:E283" si="47">C280*D280</f>
        <v>302.71026128546595</v>
      </c>
      <c r="F280" s="265">
        <f t="shared" ref="F280:F283" si="48">$J$277</f>
        <v>28</v>
      </c>
      <c r="G280" s="292">
        <f t="shared" ref="G280:G283" si="49">E280*F280/1000000</f>
        <v>8.4758873159930456E-3</v>
      </c>
      <c r="I280" s="26"/>
      <c r="J280" s="29"/>
    </row>
    <row r="281" spans="2:10" ht="15" customHeight="1">
      <c r="B281" s="288" t="s">
        <v>457</v>
      </c>
      <c r="C281" s="289">
        <f>J131/1000</f>
        <v>812.9557260687302</v>
      </c>
      <c r="D281" s="290">
        <v>3.006909179967E-3</v>
      </c>
      <c r="E281" s="291">
        <f t="shared" si="47"/>
        <v>2.4444840356228026</v>
      </c>
      <c r="F281" s="265">
        <f t="shared" si="48"/>
        <v>28</v>
      </c>
      <c r="G281" s="292">
        <f t="shared" si="49"/>
        <v>6.8445552997438463E-5</v>
      </c>
    </row>
    <row r="282" spans="2:10" ht="15" customHeight="1">
      <c r="B282" s="288" t="s">
        <v>458</v>
      </c>
      <c r="C282" s="289">
        <f>J165/1000</f>
        <v>1405.797446926729</v>
      </c>
      <c r="D282" s="290">
        <v>3.006909179967E-3</v>
      </c>
      <c r="E282" s="291">
        <f t="shared" si="47"/>
        <v>4.2271052483381526</v>
      </c>
      <c r="F282" s="265">
        <f t="shared" si="48"/>
        <v>28</v>
      </c>
      <c r="G282" s="292">
        <f t="shared" si="49"/>
        <v>1.1835894695346827E-4</v>
      </c>
    </row>
    <row r="283" spans="2:10" ht="15" customHeight="1">
      <c r="B283" s="288" t="s">
        <v>399</v>
      </c>
      <c r="C283" s="289">
        <f>J250/1000</f>
        <v>29554.406047181717</v>
      </c>
      <c r="D283" s="290">
        <v>9.4955026735800007E-4</v>
      </c>
      <c r="E283" s="291">
        <f t="shared" si="47"/>
        <v>28.063394163708292</v>
      </c>
      <c r="F283" s="265">
        <f t="shared" si="48"/>
        <v>28</v>
      </c>
      <c r="G283" s="292">
        <f t="shared" si="49"/>
        <v>7.8577503658383216E-4</v>
      </c>
    </row>
    <row r="284" spans="2:10" ht="17.25" customHeight="1">
      <c r="B284" s="293"/>
      <c r="C284" s="294"/>
      <c r="D284" s="294"/>
      <c r="E284" s="294"/>
      <c r="F284" s="295" t="s">
        <v>152</v>
      </c>
      <c r="G284" s="296">
        <f>SUM(G280:G283)</f>
        <v>9.4484668525277836E-3</v>
      </c>
    </row>
    <row r="285" spans="2:10" ht="12" customHeight="1"/>
    <row r="286" spans="2:10" ht="21" customHeight="1">
      <c r="B286" s="172" t="s">
        <v>459</v>
      </c>
    </row>
    <row r="287" spans="2:10" ht="21" customHeight="1">
      <c r="B287" s="172" t="s">
        <v>438</v>
      </c>
    </row>
    <row r="288" spans="2:10" ht="21" customHeight="1">
      <c r="B288" s="17" t="s">
        <v>460</v>
      </c>
      <c r="C288" s="1"/>
      <c r="D288" s="1"/>
      <c r="E288" s="278">
        <v>2006</v>
      </c>
      <c r="F288" s="1"/>
      <c r="G288" s="1"/>
    </row>
    <row r="289" spans="2:7" ht="13.5" customHeight="1">
      <c r="B289" s="59"/>
      <c r="C289" s="1"/>
      <c r="D289" s="1"/>
      <c r="E289" s="279"/>
      <c r="F289" s="1"/>
      <c r="G289" s="1"/>
    </row>
    <row r="290" spans="2:7" ht="17.25" customHeight="1">
      <c r="B290" s="297"/>
      <c r="C290" s="298" t="s">
        <v>68</v>
      </c>
      <c r="D290" s="299" t="s">
        <v>451</v>
      </c>
      <c r="E290" s="299" t="s">
        <v>461</v>
      </c>
      <c r="F290" s="298" t="s">
        <v>452</v>
      </c>
      <c r="G290" s="300" t="s">
        <v>95</v>
      </c>
    </row>
    <row r="291" spans="2:7" ht="16.5" customHeight="1">
      <c r="B291" s="301" t="s">
        <v>238</v>
      </c>
      <c r="C291" s="302" t="s">
        <v>453</v>
      </c>
      <c r="D291" s="303" t="s">
        <v>462</v>
      </c>
      <c r="E291" s="303" t="s">
        <v>463</v>
      </c>
      <c r="F291" s="302"/>
      <c r="G291" s="304" t="s">
        <v>464</v>
      </c>
    </row>
    <row r="292" spans="2:7" ht="15" customHeight="1">
      <c r="B292" s="305" t="s">
        <v>253</v>
      </c>
      <c r="C292" s="289">
        <f t="shared" ref="C292:C295" si="50">C280</f>
        <v>302014.70330619172</v>
      </c>
      <c r="D292" s="290">
        <v>1.5034545899835E-3</v>
      </c>
      <c r="E292" s="291">
        <f t="shared" ref="E292:E295" si="51">C292*D292</f>
        <v>454.06539192819884</v>
      </c>
      <c r="F292" s="265">
        <f t="shared" ref="F292:F295" si="52">$J$278</f>
        <v>265</v>
      </c>
      <c r="G292" s="292">
        <f t="shared" ref="G292:G295" si="53">E292*F292/1000000</f>
        <v>0.12032732886097269</v>
      </c>
    </row>
    <row r="293" spans="2:7" ht="15" customHeight="1">
      <c r="B293" s="305" t="s">
        <v>457</v>
      </c>
      <c r="C293" s="289">
        <f t="shared" si="50"/>
        <v>812.9557260687302</v>
      </c>
      <c r="D293" s="290">
        <v>6.0138183599339984E-4</v>
      </c>
      <c r="E293" s="291">
        <f t="shared" si="51"/>
        <v>0.48889680712456041</v>
      </c>
      <c r="F293" s="265">
        <f t="shared" si="52"/>
        <v>265</v>
      </c>
      <c r="G293" s="292">
        <f t="shared" si="53"/>
        <v>1.295576538880085E-4</v>
      </c>
    </row>
    <row r="294" spans="2:7" ht="15" customHeight="1">
      <c r="B294" s="305" t="s">
        <v>458</v>
      </c>
      <c r="C294" s="289">
        <f t="shared" si="50"/>
        <v>1405.797446926729</v>
      </c>
      <c r="D294" s="290">
        <v>6.0138183599339984E-4</v>
      </c>
      <c r="E294" s="291">
        <f t="shared" si="51"/>
        <v>0.84542104966763032</v>
      </c>
      <c r="F294" s="265">
        <f t="shared" si="52"/>
        <v>265</v>
      </c>
      <c r="G294" s="292">
        <f t="shared" si="53"/>
        <v>2.2403657816192203E-4</v>
      </c>
    </row>
    <row r="295" spans="2:7" ht="15" customHeight="1">
      <c r="B295" s="305" t="s">
        <v>399</v>
      </c>
      <c r="C295" s="289">
        <f t="shared" si="50"/>
        <v>29554.406047181717</v>
      </c>
      <c r="D295" s="290">
        <v>9.4955026735800017E-5</v>
      </c>
      <c r="E295" s="291">
        <f t="shared" si="51"/>
        <v>2.8063394163708297</v>
      </c>
      <c r="F295" s="265">
        <f t="shared" si="52"/>
        <v>265</v>
      </c>
      <c r="G295" s="292">
        <f t="shared" si="53"/>
        <v>7.4367994533826992E-4</v>
      </c>
    </row>
    <row r="296" spans="2:7" ht="17.25" customHeight="1">
      <c r="B296" s="306"/>
      <c r="C296" s="294"/>
      <c r="D296" s="294"/>
      <c r="E296" s="294"/>
      <c r="F296" s="295" t="s">
        <v>152</v>
      </c>
      <c r="G296" s="296">
        <f>SUM(G292:G295)</f>
        <v>0.12142460303836088</v>
      </c>
    </row>
    <row r="297" spans="2:7" ht="12" customHeight="1">
      <c r="B297" s="14"/>
      <c r="C297" s="1"/>
      <c r="D297" s="1"/>
      <c r="E297" s="1"/>
      <c r="F297" s="307"/>
      <c r="G297" s="308"/>
    </row>
    <row r="298" spans="2:7" ht="11.25" customHeight="1"/>
    <row r="299" spans="2:7" ht="21" customHeight="1">
      <c r="B299" s="172" t="s">
        <v>465</v>
      </c>
      <c r="C299" s="1"/>
      <c r="D299" s="1"/>
      <c r="E299" s="1"/>
      <c r="F299" s="307"/>
      <c r="G299" s="308"/>
    </row>
    <row r="300" spans="2:7" ht="21" customHeight="1">
      <c r="B300" s="172" t="s">
        <v>438</v>
      </c>
    </row>
    <row r="301" spans="2:7" ht="21" customHeight="1">
      <c r="B301" s="17" t="s">
        <v>466</v>
      </c>
      <c r="C301" s="1"/>
      <c r="D301" s="1"/>
      <c r="E301" s="278">
        <v>2006</v>
      </c>
      <c r="F301" s="1"/>
      <c r="G301" s="1"/>
    </row>
    <row r="302" spans="2:7" ht="12" customHeight="1"/>
    <row r="303" spans="2:7" ht="17.25" customHeight="1">
      <c r="B303" s="309"/>
      <c r="C303" s="310"/>
      <c r="D303" s="311" t="s">
        <v>95</v>
      </c>
      <c r="E303" s="312" t="s">
        <v>95</v>
      </c>
      <c r="F303" s="312" t="s">
        <v>95</v>
      </c>
      <c r="G303" s="313" t="s">
        <v>95</v>
      </c>
    </row>
    <row r="304" spans="2:7" ht="16.5" customHeight="1">
      <c r="B304" s="314"/>
      <c r="C304" s="315" t="s">
        <v>68</v>
      </c>
      <c r="D304" s="316" t="s">
        <v>467</v>
      </c>
      <c r="E304" s="317" t="s">
        <v>468</v>
      </c>
      <c r="F304" s="317" t="s">
        <v>469</v>
      </c>
      <c r="G304" s="318" t="s">
        <v>152</v>
      </c>
    </row>
    <row r="305" spans="2:7" ht="17.25" customHeight="1">
      <c r="B305" s="319" t="s">
        <v>238</v>
      </c>
      <c r="C305" s="320" t="s">
        <v>453</v>
      </c>
      <c r="D305" s="316" t="s">
        <v>470</v>
      </c>
      <c r="E305" s="317" t="s">
        <v>471</v>
      </c>
      <c r="F305" s="317" t="s">
        <v>472</v>
      </c>
      <c r="G305" s="318" t="s">
        <v>473</v>
      </c>
    </row>
    <row r="306" spans="2:7" ht="15" customHeight="1">
      <c r="B306" s="305" t="s">
        <v>253</v>
      </c>
      <c r="C306" s="321">
        <f t="shared" ref="C306:C309" si="54">C292</f>
        <v>302014.70330619172</v>
      </c>
      <c r="D306" s="322">
        <f>K49*0.9072/1000000</f>
        <v>28.130573867498466</v>
      </c>
      <c r="E306" s="323">
        <f t="shared" ref="E306:E309" si="55">G292</f>
        <v>0.12032732886097269</v>
      </c>
      <c r="F306" s="323">
        <f t="shared" ref="F306:F309" si="56">G280</f>
        <v>8.4758873159930456E-3</v>
      </c>
      <c r="G306" s="324">
        <f t="shared" ref="G306:G309" si="57">D306+E306+F306</f>
        <v>28.259377083675432</v>
      </c>
    </row>
    <row r="307" spans="2:7" ht="15" customHeight="1">
      <c r="B307" s="305" t="s">
        <v>457</v>
      </c>
      <c r="C307" s="289">
        <f t="shared" si="54"/>
        <v>812.9557260687302</v>
      </c>
      <c r="D307" s="325">
        <f>K131*0.9072/1000000</f>
        <v>6.7368344339167802E-2</v>
      </c>
      <c r="E307" s="326">
        <f t="shared" si="55"/>
        <v>1.295576538880085E-4</v>
      </c>
      <c r="F307" s="326">
        <f t="shared" si="56"/>
        <v>6.8445552997438463E-5</v>
      </c>
      <c r="G307" s="327">
        <f t="shared" si="57"/>
        <v>6.7566347546053243E-2</v>
      </c>
    </row>
    <row r="308" spans="2:7" ht="15" customHeight="1">
      <c r="B308" s="305" t="s">
        <v>458</v>
      </c>
      <c r="C308" s="289">
        <f t="shared" si="54"/>
        <v>1405.797446926729</v>
      </c>
      <c r="D308" s="325">
        <f>K165*0.9072/1000000</f>
        <v>0.10932356124083162</v>
      </c>
      <c r="E308" s="326">
        <f t="shared" si="55"/>
        <v>2.2403657816192203E-4</v>
      </c>
      <c r="F308" s="326">
        <f t="shared" si="56"/>
        <v>1.1835894695346827E-4</v>
      </c>
      <c r="G308" s="327">
        <f t="shared" si="57"/>
        <v>0.10966595676594701</v>
      </c>
    </row>
    <row r="309" spans="2:7" ht="15" customHeight="1">
      <c r="B309" s="305" t="s">
        <v>399</v>
      </c>
      <c r="C309" s="289">
        <f t="shared" si="54"/>
        <v>29554.406047181717</v>
      </c>
      <c r="D309" s="325">
        <f>K250*0.9072/1000000</f>
        <v>3.6392815215400622</v>
      </c>
      <c r="E309" s="326">
        <f t="shared" si="55"/>
        <v>7.4367994533826992E-4</v>
      </c>
      <c r="F309" s="326">
        <f t="shared" si="56"/>
        <v>7.8577503658383216E-4</v>
      </c>
      <c r="G309" s="327">
        <f t="shared" si="57"/>
        <v>3.6408109765219843</v>
      </c>
    </row>
    <row r="310" spans="2:7" ht="17.25" customHeight="1">
      <c r="B310" s="306"/>
      <c r="C310" s="328"/>
      <c r="D310" s="329">
        <f t="shared" ref="D310:F310" si="58">SUM(D306:D309)</f>
        <v>31.946547294618529</v>
      </c>
      <c r="E310" s="329">
        <f t="shared" si="58"/>
        <v>0.12142460303836088</v>
      </c>
      <c r="F310" s="330">
        <f t="shared" si="58"/>
        <v>9.4484668525277836E-3</v>
      </c>
      <c r="G310" s="331">
        <f>SUM(D310:F310)</f>
        <v>32.077420364509415</v>
      </c>
    </row>
    <row r="311" spans="2:7" ht="12" customHeight="1"/>
    <row r="312" spans="2:7" ht="11.25" customHeight="1"/>
    <row r="313" spans="2:7" ht="11.25" customHeight="1"/>
    <row r="314" spans="2:7" ht="11.25" customHeight="1"/>
    <row r="315" spans="2:7" ht="11.25" customHeight="1"/>
    <row r="316" spans="2:7" ht="11.25" customHeight="1"/>
    <row r="317" spans="2:7" ht="11.25" customHeight="1"/>
    <row r="318" spans="2:7" ht="11.25" customHeight="1"/>
    <row r="319" spans="2:7" ht="11.25" customHeight="1"/>
    <row r="320" spans="2:7"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1.25" customHeight="1"/>
    <row r="345" ht="11.25" customHeight="1"/>
    <row r="346" ht="11.25" customHeight="1"/>
    <row r="347" ht="11.25" customHeight="1"/>
    <row r="348" ht="11.25" customHeight="1"/>
    <row r="349" ht="11.25" customHeight="1"/>
    <row r="350" ht="11.25" customHeight="1"/>
    <row r="351" ht="11.25" customHeight="1"/>
    <row r="352"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row r="382" ht="11.25" customHeight="1"/>
    <row r="383" ht="11.25" customHeight="1"/>
    <row r="384" ht="11.25" customHeight="1"/>
    <row r="385" ht="11.25" customHeight="1"/>
    <row r="386" ht="11.25" customHeight="1"/>
    <row r="387" ht="11.25" customHeight="1"/>
    <row r="388" ht="11.25" customHeight="1"/>
    <row r="389" ht="11.25" customHeight="1"/>
    <row r="390" ht="11.25" customHeight="1"/>
    <row r="391" ht="11.25" customHeight="1"/>
    <row r="392" ht="11.25" customHeight="1"/>
    <row r="393" ht="11.25" customHeight="1"/>
    <row r="394" ht="11.25" customHeight="1"/>
    <row r="395" ht="11.25" customHeight="1"/>
    <row r="396" ht="11.25" customHeight="1"/>
    <row r="397" ht="11.25" customHeight="1"/>
    <row r="398" ht="11.25" customHeight="1"/>
    <row r="399" ht="11.25" customHeight="1"/>
    <row r="400" ht="11.25" customHeight="1"/>
    <row r="401" ht="11.25" customHeight="1"/>
    <row r="402" ht="11.25" customHeight="1"/>
    <row r="403" ht="11.25" customHeight="1"/>
    <row r="404" ht="11.25" customHeight="1"/>
    <row r="405" ht="11.25" customHeight="1"/>
    <row r="406" ht="11.25" customHeight="1"/>
    <row r="407" ht="11.25" customHeight="1"/>
    <row r="408" ht="11.25" customHeight="1"/>
    <row r="409" ht="11.25" customHeight="1"/>
    <row r="410" ht="11.25" customHeight="1"/>
    <row r="411" ht="11.25" customHeight="1"/>
    <row r="412" ht="11.25" customHeight="1"/>
    <row r="413" ht="11.25" customHeight="1"/>
    <row r="414" ht="11.25" customHeight="1"/>
    <row r="415" ht="11.25" customHeight="1"/>
    <row r="416" ht="11.25" customHeight="1"/>
    <row r="417" ht="11.25" customHeight="1"/>
    <row r="418" ht="11.25" customHeight="1"/>
    <row r="419" ht="11.25" customHeight="1"/>
    <row r="420" ht="11.25" customHeight="1"/>
    <row r="421" ht="11.25" customHeight="1"/>
    <row r="422" ht="11.25" customHeight="1"/>
    <row r="423" ht="11.25" customHeight="1"/>
    <row r="424" ht="11.25" customHeight="1"/>
    <row r="425" ht="11.25" customHeight="1"/>
    <row r="426" ht="11.25" customHeight="1"/>
    <row r="427" ht="11.25" customHeight="1"/>
    <row r="428" ht="11.25" customHeight="1"/>
    <row r="429" ht="11.25" customHeight="1"/>
    <row r="430" ht="11.25" customHeight="1"/>
    <row r="431" ht="11.25" customHeight="1"/>
    <row r="432" ht="11.25" customHeight="1"/>
    <row r="433" ht="11.25" customHeight="1"/>
    <row r="434" ht="11.25" customHeight="1"/>
    <row r="435" ht="11.25" customHeight="1"/>
    <row r="436" ht="11.25" customHeight="1"/>
    <row r="437" ht="11.25" customHeight="1"/>
    <row r="438" ht="11.25" customHeight="1"/>
    <row r="439" ht="11.25" customHeight="1"/>
    <row r="440" ht="11.25" customHeight="1"/>
    <row r="441" ht="11.25" customHeight="1"/>
    <row r="442" ht="11.25" customHeight="1"/>
    <row r="443" ht="11.25" customHeight="1"/>
    <row r="444" ht="11.25" customHeight="1"/>
    <row r="445" ht="11.25" customHeight="1"/>
    <row r="446" ht="11.25" customHeight="1"/>
    <row r="447" ht="11.25" customHeight="1"/>
    <row r="448" ht="11.25" customHeight="1"/>
    <row r="449" ht="11.25" customHeight="1"/>
    <row r="450" ht="11.25" customHeight="1"/>
    <row r="451" ht="11.25" customHeight="1"/>
    <row r="452" ht="11.25" customHeight="1"/>
    <row r="453" ht="11.25" customHeight="1"/>
    <row r="454" ht="11.25" customHeight="1"/>
    <row r="455" ht="11.25" customHeight="1"/>
    <row r="456" ht="11.25" customHeight="1"/>
    <row r="457" ht="11.25" customHeight="1"/>
    <row r="458" ht="11.25" customHeight="1"/>
    <row r="459" ht="11.25" customHeight="1"/>
    <row r="460" ht="11.25" customHeight="1"/>
    <row r="461" ht="11.25" customHeight="1"/>
    <row r="462" ht="11.25" customHeight="1"/>
    <row r="463" ht="11.25" customHeight="1"/>
    <row r="464" ht="11.25" customHeight="1"/>
    <row r="465" ht="11.25" customHeight="1"/>
    <row r="466" ht="11.25" customHeight="1"/>
    <row r="467" ht="11.25" customHeight="1"/>
    <row r="468" ht="11.25" customHeight="1"/>
    <row r="469" ht="11.25" customHeight="1"/>
    <row r="470" ht="11.25" customHeight="1"/>
    <row r="471" ht="11.25" customHeight="1"/>
    <row r="472" ht="11.25" customHeight="1"/>
    <row r="473" ht="11.25" customHeight="1"/>
    <row r="474" ht="11.25" customHeight="1"/>
    <row r="475" ht="11.25" customHeight="1"/>
    <row r="476" ht="11.25" customHeight="1"/>
    <row r="477" ht="11.25" customHeight="1"/>
    <row r="478" ht="11.25" customHeight="1"/>
    <row r="479" ht="11.25" customHeight="1"/>
    <row r="480" ht="11.25" customHeight="1"/>
    <row r="481" ht="11.25" customHeight="1"/>
    <row r="482" ht="11.25" customHeight="1"/>
    <row r="483" ht="11.25" customHeight="1"/>
    <row r="484" ht="11.25" customHeight="1"/>
    <row r="485" ht="11.25" customHeight="1"/>
    <row r="486" ht="11.25" customHeight="1"/>
    <row r="487" ht="11.25" customHeight="1"/>
    <row r="488" ht="11.25" customHeight="1"/>
    <row r="489" ht="11.25" customHeight="1"/>
    <row r="490" ht="11.25" customHeight="1"/>
    <row r="491" ht="11.25" customHeight="1"/>
    <row r="492" ht="11.25" customHeight="1"/>
    <row r="493" ht="11.25" customHeight="1"/>
    <row r="494" ht="11.25" customHeight="1"/>
    <row r="495" ht="11.25" customHeight="1"/>
    <row r="496" ht="11.25" customHeight="1"/>
    <row r="497" ht="11.25" customHeight="1"/>
    <row r="498" ht="11.25" customHeight="1"/>
    <row r="499" ht="11.25" customHeight="1"/>
    <row r="500" ht="11.25" customHeight="1"/>
    <row r="501" ht="11.25" customHeight="1"/>
    <row r="502" ht="11.25" customHeight="1"/>
    <row r="503" ht="11.25" customHeight="1"/>
    <row r="504" ht="11.25" customHeight="1"/>
    <row r="505" ht="11.25" customHeight="1"/>
    <row r="506" ht="11.25" customHeight="1"/>
    <row r="507" ht="11.25" customHeight="1"/>
    <row r="508" ht="11.25" customHeight="1"/>
    <row r="509" ht="11.25" customHeight="1"/>
    <row r="510" ht="11.2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H49:I49"/>
    <mergeCell ref="H131:I131"/>
    <mergeCell ref="H168:I168"/>
    <mergeCell ref="I274:J274"/>
  </mergeCells>
  <pageMargins left="0.7" right="0.7" top="0.75" bottom="0.75" header="0" footer="0"/>
  <pageSetup orientation="landscape"/>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1000"/>
  <sheetViews>
    <sheetView workbookViewId="0"/>
  </sheetViews>
  <sheetFormatPr defaultColWidth="16.85546875" defaultRowHeight="15" customHeight="1"/>
  <cols>
    <col min="1" max="2" width="8" customWidth="1"/>
    <col min="3" max="3" width="20.85546875" customWidth="1"/>
    <col min="4" max="4" width="15.42578125" customWidth="1"/>
    <col min="5" max="5" width="12.7109375" customWidth="1"/>
    <col min="6" max="6" width="8" customWidth="1"/>
    <col min="7" max="7" width="18.28515625" customWidth="1"/>
    <col min="8" max="8" width="8" customWidth="1"/>
    <col min="9" max="9" width="11" customWidth="1"/>
    <col min="10" max="10" width="12.7109375" customWidth="1"/>
    <col min="11" max="24" width="8" customWidth="1"/>
  </cols>
  <sheetData>
    <row r="1" spans="1:24" ht="33" customHeight="1">
      <c r="A1" s="17" t="s">
        <v>1029</v>
      </c>
      <c r="B1" s="171"/>
      <c r="G1" s="13"/>
      <c r="H1" s="14"/>
    </row>
    <row r="2" spans="1:24" ht="111.75" customHeight="1">
      <c r="A2" s="3"/>
      <c r="B2" s="1083"/>
      <c r="C2" s="1083"/>
      <c r="D2" s="1084"/>
      <c r="E2" s="1084"/>
      <c r="F2" s="1084"/>
      <c r="G2" s="1084"/>
      <c r="H2" s="1085"/>
      <c r="I2" s="3"/>
      <c r="J2" s="1085"/>
      <c r="K2" s="1085"/>
      <c r="L2" s="1085"/>
      <c r="M2" s="3"/>
      <c r="N2" s="3"/>
      <c r="O2" s="3"/>
      <c r="P2" s="3"/>
      <c r="Q2" s="3"/>
      <c r="R2" s="3"/>
      <c r="S2" s="3"/>
      <c r="T2" s="3"/>
      <c r="U2" s="3"/>
      <c r="V2" s="3"/>
      <c r="W2" s="3"/>
      <c r="X2" s="3"/>
    </row>
    <row r="3" spans="1:24" ht="15.75" customHeight="1">
      <c r="A3" s="3"/>
      <c r="B3" s="1086"/>
      <c r="C3" s="1087"/>
      <c r="D3" s="1088" t="s">
        <v>95</v>
      </c>
      <c r="E3" s="3"/>
      <c r="F3" s="3"/>
      <c r="G3" s="3"/>
      <c r="H3" s="3"/>
      <c r="I3" s="3"/>
      <c r="J3" s="3"/>
      <c r="K3" s="3"/>
      <c r="L3" s="3"/>
      <c r="M3" s="3"/>
      <c r="N3" s="3"/>
      <c r="O3" s="3"/>
      <c r="P3" s="3"/>
      <c r="Q3" s="3"/>
      <c r="R3" s="3"/>
      <c r="S3" s="3"/>
      <c r="T3" s="3"/>
      <c r="U3" s="3"/>
      <c r="V3" s="3"/>
      <c r="W3" s="3"/>
      <c r="X3" s="3"/>
    </row>
    <row r="4" spans="1:24" ht="18" customHeight="1">
      <c r="A4" s="3"/>
      <c r="B4" s="1089"/>
      <c r="C4" s="47"/>
      <c r="D4" s="1090" t="s">
        <v>1030</v>
      </c>
      <c r="E4" s="3"/>
      <c r="F4" s="3"/>
      <c r="G4" s="3"/>
      <c r="H4" s="3"/>
      <c r="I4" s="3"/>
      <c r="J4" s="3"/>
      <c r="K4" s="3"/>
      <c r="L4" s="3"/>
      <c r="M4" s="3"/>
      <c r="N4" s="3"/>
      <c r="O4" s="3"/>
      <c r="P4" s="3"/>
      <c r="Q4" s="3"/>
      <c r="R4" s="3"/>
      <c r="S4" s="3"/>
      <c r="T4" s="3"/>
      <c r="U4" s="3"/>
      <c r="V4" s="3"/>
      <c r="W4" s="3"/>
      <c r="X4" s="3"/>
    </row>
    <row r="5" spans="1:24" ht="15" customHeight="1">
      <c r="A5" s="3"/>
      <c r="B5" s="1089"/>
      <c r="C5" s="1091"/>
      <c r="D5" s="1092"/>
      <c r="E5" s="3"/>
      <c r="F5" s="3"/>
      <c r="G5" s="3"/>
      <c r="H5" s="3"/>
      <c r="I5" s="3"/>
      <c r="J5" s="3"/>
      <c r="K5" s="3"/>
      <c r="L5" s="3"/>
      <c r="M5" s="3"/>
      <c r="N5" s="3"/>
      <c r="O5" s="3"/>
      <c r="P5" s="3"/>
      <c r="Q5" s="3"/>
      <c r="R5" s="3"/>
      <c r="S5" s="3"/>
      <c r="T5" s="3"/>
      <c r="U5" s="3"/>
      <c r="V5" s="3"/>
      <c r="W5" s="3"/>
      <c r="X5" s="3"/>
    </row>
    <row r="6" spans="1:24" ht="15" customHeight="1">
      <c r="A6" s="3"/>
      <c r="B6" s="1093"/>
      <c r="C6" s="1094"/>
      <c r="D6" s="1092"/>
      <c r="E6" s="3"/>
      <c r="F6" s="3"/>
      <c r="G6" s="3"/>
      <c r="H6" s="3"/>
      <c r="I6" s="3"/>
      <c r="J6" s="3"/>
      <c r="K6" s="3"/>
      <c r="L6" s="3"/>
      <c r="M6" s="3"/>
      <c r="N6" s="3"/>
      <c r="O6" s="3"/>
      <c r="P6" s="3"/>
      <c r="Q6" s="3"/>
      <c r="R6" s="3"/>
      <c r="S6" s="3"/>
      <c r="T6" s="3"/>
      <c r="U6" s="3"/>
      <c r="V6" s="3"/>
      <c r="W6" s="3"/>
      <c r="X6" s="3"/>
    </row>
    <row r="7" spans="1:24" ht="15" customHeight="1">
      <c r="A7" s="3"/>
      <c r="B7" s="1095">
        <v>2006</v>
      </c>
      <c r="C7" s="1096" t="s">
        <v>1031</v>
      </c>
      <c r="D7" s="1092">
        <v>3.3000000000000002E-2</v>
      </c>
      <c r="E7" s="554"/>
      <c r="F7" s="3"/>
      <c r="G7" s="3"/>
      <c r="H7" s="3"/>
      <c r="I7" s="3"/>
      <c r="J7" s="3"/>
      <c r="K7" s="3"/>
      <c r="L7" s="3"/>
      <c r="M7" s="3"/>
      <c r="N7" s="3"/>
      <c r="O7" s="3"/>
      <c r="P7" s="3"/>
      <c r="Q7" s="3"/>
      <c r="R7" s="3"/>
      <c r="S7" s="3"/>
      <c r="T7" s="3"/>
      <c r="U7" s="3"/>
      <c r="V7" s="3"/>
      <c r="W7" s="3"/>
      <c r="X7" s="3"/>
    </row>
    <row r="8" spans="1:24" ht="15.75" customHeight="1">
      <c r="A8" s="3"/>
      <c r="B8" s="1097"/>
      <c r="C8" s="1098"/>
      <c r="D8" s="1099"/>
      <c r="E8" s="3"/>
      <c r="F8" s="3"/>
      <c r="G8" s="3"/>
      <c r="H8" s="3"/>
      <c r="I8" s="3"/>
      <c r="J8" s="3"/>
      <c r="K8" s="3"/>
      <c r="L8" s="3"/>
      <c r="M8" s="3"/>
      <c r="N8" s="3"/>
      <c r="O8" s="3"/>
      <c r="P8" s="3"/>
      <c r="Q8" s="3"/>
      <c r="R8" s="3"/>
      <c r="S8" s="3"/>
      <c r="T8" s="3"/>
      <c r="U8" s="3"/>
      <c r="V8" s="3"/>
      <c r="W8" s="3"/>
      <c r="X8" s="3"/>
    </row>
    <row r="9" spans="1:24" ht="15.75" customHeight="1">
      <c r="A9" s="3"/>
      <c r="B9" s="3"/>
      <c r="C9" s="3"/>
      <c r="D9" s="3"/>
      <c r="E9" s="3"/>
      <c r="F9" s="3"/>
      <c r="G9" s="3"/>
      <c r="H9" s="3"/>
      <c r="I9" s="3"/>
      <c r="J9" s="3"/>
      <c r="K9" s="3"/>
      <c r="L9" s="3"/>
      <c r="M9" s="3"/>
      <c r="N9" s="3"/>
      <c r="O9" s="3"/>
      <c r="P9" s="3"/>
      <c r="Q9" s="3"/>
      <c r="R9" s="3"/>
      <c r="S9" s="3"/>
      <c r="T9" s="3"/>
      <c r="U9" s="3"/>
      <c r="V9" s="3"/>
      <c r="W9" s="3"/>
      <c r="X9" s="3"/>
    </row>
    <row r="10" spans="1:24" ht="11.25" customHeight="1"/>
    <row r="11" spans="1:24" ht="11.25" customHeight="1"/>
    <row r="12" spans="1:24" ht="11.25" customHeight="1"/>
    <row r="13" spans="1:24" ht="11.25" customHeight="1"/>
    <row r="14" spans="1:24" ht="11.25" customHeight="1"/>
    <row r="15" spans="1:24" ht="11.25" customHeight="1"/>
    <row r="16" spans="1:2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F1197"/>
  <sheetViews>
    <sheetView workbookViewId="0"/>
  </sheetViews>
  <sheetFormatPr defaultColWidth="16.85546875" defaultRowHeight="15" customHeight="1"/>
  <cols>
    <col min="1" max="1" width="7.7109375" customWidth="1"/>
    <col min="2" max="2" width="50.7109375" customWidth="1"/>
    <col min="3" max="3" width="22" customWidth="1"/>
    <col min="4" max="4" width="21.7109375" customWidth="1"/>
  </cols>
  <sheetData>
    <row r="1" spans="1:32" ht="15" customHeight="1">
      <c r="A1" s="46"/>
      <c r="B1" s="35"/>
      <c r="C1" s="35"/>
      <c r="D1" s="35"/>
      <c r="E1" s="35"/>
      <c r="F1" s="35"/>
      <c r="G1" s="35"/>
      <c r="H1" s="35"/>
      <c r="I1" s="46"/>
      <c r="J1" s="35"/>
      <c r="K1" s="35"/>
      <c r="L1" s="46"/>
      <c r="M1" s="46"/>
      <c r="N1" s="46"/>
      <c r="O1" s="46"/>
      <c r="P1" s="46"/>
      <c r="Q1" s="46"/>
      <c r="R1" s="46"/>
      <c r="S1" s="46"/>
      <c r="T1" s="46"/>
      <c r="U1" s="46"/>
      <c r="V1" s="46"/>
      <c r="W1" s="46"/>
      <c r="X1" s="46"/>
      <c r="Y1" s="46"/>
      <c r="Z1" s="46"/>
      <c r="AA1" s="46"/>
      <c r="AB1" s="46"/>
      <c r="AC1" s="46"/>
      <c r="AD1" s="46"/>
      <c r="AE1" s="46"/>
      <c r="AF1" s="46"/>
    </row>
    <row r="2" spans="1:32" ht="18">
      <c r="A2" s="73"/>
      <c r="B2" s="1767" t="s">
        <v>116</v>
      </c>
      <c r="C2" s="1768"/>
      <c r="D2" s="1768"/>
      <c r="E2" s="1768"/>
      <c r="F2" s="1768"/>
      <c r="G2" s="1768"/>
      <c r="H2" s="1769"/>
      <c r="I2" s="73"/>
      <c r="J2" s="1770" t="s">
        <v>1</v>
      </c>
      <c r="K2" s="1764"/>
      <c r="L2" s="46"/>
      <c r="M2" s="46"/>
      <c r="N2" s="46"/>
      <c r="O2" s="46"/>
      <c r="P2" s="46"/>
      <c r="Q2" s="46"/>
      <c r="R2" s="46"/>
      <c r="S2" s="46"/>
      <c r="T2" s="46"/>
      <c r="U2" s="46"/>
      <c r="V2" s="46"/>
      <c r="W2" s="46"/>
      <c r="X2" s="46"/>
      <c r="Y2" s="46"/>
      <c r="Z2" s="46"/>
      <c r="AA2" s="46"/>
      <c r="AB2" s="46"/>
      <c r="AC2" s="46"/>
      <c r="AD2" s="46"/>
      <c r="AE2" s="46"/>
      <c r="AF2" s="46"/>
    </row>
    <row r="3" spans="1:32" ht="15" customHeight="1">
      <c r="A3" s="46"/>
      <c r="B3" s="46"/>
      <c r="C3" s="46"/>
      <c r="D3" s="46"/>
      <c r="E3" s="46"/>
      <c r="F3" s="46"/>
      <c r="G3" s="46"/>
      <c r="H3" s="46"/>
      <c r="I3" s="73"/>
      <c r="J3" s="74"/>
      <c r="K3" s="75" t="str">
        <f>Summary!E3</f>
        <v>AR5 100-yr GWP</v>
      </c>
      <c r="L3" s="46"/>
      <c r="M3" s="46"/>
      <c r="N3" s="46"/>
      <c r="O3" s="46"/>
      <c r="P3" s="46"/>
      <c r="Q3" s="46"/>
      <c r="R3" s="46"/>
      <c r="S3" s="46"/>
      <c r="T3" s="46"/>
      <c r="U3" s="46"/>
      <c r="V3" s="46"/>
      <c r="W3" s="46"/>
      <c r="X3" s="46"/>
      <c r="Y3" s="46"/>
      <c r="Z3" s="46"/>
      <c r="AA3" s="46"/>
      <c r="AB3" s="46"/>
      <c r="AC3" s="46"/>
      <c r="AD3" s="46"/>
      <c r="AE3" s="46"/>
      <c r="AF3" s="46"/>
    </row>
    <row r="4" spans="1:32" ht="15" customHeight="1">
      <c r="A4" s="46"/>
      <c r="B4" s="46"/>
      <c r="C4" s="46"/>
      <c r="D4" s="46"/>
      <c r="E4" s="46"/>
      <c r="F4" s="46"/>
      <c r="G4" s="46"/>
      <c r="H4" s="46"/>
      <c r="I4" s="73"/>
      <c r="J4" s="74" t="s">
        <v>4</v>
      </c>
      <c r="K4" s="76">
        <f>Summary!E4</f>
        <v>1</v>
      </c>
      <c r="L4" s="46"/>
      <c r="M4" s="46"/>
      <c r="N4" s="46"/>
      <c r="O4" s="46"/>
      <c r="P4" s="46"/>
      <c r="Q4" s="46"/>
      <c r="R4" s="46"/>
      <c r="S4" s="46"/>
      <c r="T4" s="46"/>
      <c r="U4" s="46"/>
      <c r="V4" s="46"/>
      <c r="W4" s="46"/>
      <c r="X4" s="46"/>
      <c r="Y4" s="46"/>
      <c r="Z4" s="46"/>
      <c r="AA4" s="46"/>
      <c r="AB4" s="46"/>
      <c r="AC4" s="46"/>
      <c r="AD4" s="46"/>
      <c r="AE4" s="46"/>
      <c r="AF4" s="46"/>
    </row>
    <row r="5" spans="1:32" ht="15" customHeight="1">
      <c r="A5" s="46"/>
      <c r="B5" s="46"/>
      <c r="C5" s="46"/>
      <c r="D5" s="46"/>
      <c r="E5" s="46"/>
      <c r="F5" s="46"/>
      <c r="G5" s="46"/>
      <c r="H5" s="46"/>
      <c r="I5" s="73"/>
      <c r="J5" s="74" t="s">
        <v>5</v>
      </c>
      <c r="K5" s="76">
        <f>Summary!E5</f>
        <v>28</v>
      </c>
      <c r="L5" s="46"/>
      <c r="M5" s="46"/>
      <c r="N5" s="46"/>
      <c r="O5" s="46"/>
      <c r="P5" s="46"/>
      <c r="Q5" s="46"/>
      <c r="R5" s="46"/>
      <c r="S5" s="46"/>
      <c r="T5" s="46"/>
      <c r="U5" s="46"/>
      <c r="V5" s="46"/>
      <c r="W5" s="46"/>
      <c r="X5" s="46"/>
      <c r="Y5" s="46"/>
      <c r="Z5" s="46"/>
      <c r="AA5" s="46"/>
      <c r="AB5" s="46"/>
      <c r="AC5" s="46"/>
      <c r="AD5" s="46"/>
      <c r="AE5" s="46"/>
      <c r="AF5" s="46"/>
    </row>
    <row r="6" spans="1:32" ht="15" customHeight="1">
      <c r="A6" s="46"/>
      <c r="B6" s="46"/>
      <c r="C6" s="46"/>
      <c r="D6" s="46"/>
      <c r="E6" s="46"/>
      <c r="F6" s="46"/>
      <c r="G6" s="46"/>
      <c r="H6" s="46"/>
      <c r="I6" s="73"/>
      <c r="J6" s="74" t="s">
        <v>6</v>
      </c>
      <c r="K6" s="76">
        <f>Summary!E6</f>
        <v>265</v>
      </c>
      <c r="L6" s="46"/>
      <c r="M6" s="46"/>
      <c r="N6" s="46"/>
      <c r="O6" s="46"/>
      <c r="P6" s="46"/>
      <c r="Q6" s="46"/>
      <c r="R6" s="46"/>
      <c r="S6" s="46"/>
      <c r="T6" s="46"/>
      <c r="U6" s="46"/>
      <c r="V6" s="46"/>
      <c r="W6" s="46"/>
      <c r="X6" s="46"/>
      <c r="Y6" s="46"/>
      <c r="Z6" s="46"/>
      <c r="AA6" s="46"/>
      <c r="AB6" s="46"/>
      <c r="AC6" s="46"/>
      <c r="AD6" s="46"/>
      <c r="AE6" s="46"/>
      <c r="AF6" s="46"/>
    </row>
    <row r="7" spans="1:32" ht="15" customHeight="1">
      <c r="A7" s="46"/>
      <c r="B7" s="46"/>
      <c r="C7" s="46"/>
      <c r="D7" s="46"/>
      <c r="E7" s="46"/>
      <c r="F7" s="46"/>
      <c r="G7" s="46"/>
      <c r="H7" s="46"/>
      <c r="I7" s="73"/>
      <c r="J7" s="74" t="s">
        <v>7</v>
      </c>
      <c r="K7" s="76">
        <f>Summary!E7</f>
        <v>23500</v>
      </c>
      <c r="L7" s="46"/>
      <c r="M7" s="46"/>
      <c r="N7" s="46"/>
      <c r="O7" s="46"/>
      <c r="P7" s="46"/>
      <c r="Q7" s="46"/>
      <c r="R7" s="46"/>
      <c r="S7" s="46"/>
      <c r="T7" s="46"/>
      <c r="U7" s="46"/>
      <c r="V7" s="46"/>
      <c r="W7" s="46"/>
      <c r="X7" s="46"/>
      <c r="Y7" s="46"/>
      <c r="Z7" s="46"/>
      <c r="AA7" s="46"/>
      <c r="AB7" s="46"/>
      <c r="AC7" s="46"/>
      <c r="AD7" s="46"/>
      <c r="AE7" s="46"/>
      <c r="AF7" s="46"/>
    </row>
    <row r="8" spans="1:32" ht="15" customHeight="1">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row>
    <row r="9" spans="1:32" ht="14.4">
      <c r="A9" s="46"/>
      <c r="B9" s="77" t="s">
        <v>39</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row>
    <row r="10" spans="1:32" ht="15" customHeight="1">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row>
    <row r="11" spans="1:32" ht="14.4">
      <c r="A11" s="46"/>
      <c r="B11" s="79" t="s">
        <v>117</v>
      </c>
      <c r="C11" s="35"/>
      <c r="D11" s="35"/>
      <c r="E11" s="35"/>
      <c r="F11" s="35"/>
      <c r="G11" s="35"/>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row>
    <row r="12" spans="1:32" ht="15" customHeight="1">
      <c r="A12" s="1589"/>
      <c r="B12" s="1590" t="s">
        <v>77</v>
      </c>
      <c r="C12" s="80" t="s">
        <v>118</v>
      </c>
      <c r="D12" s="80" t="s">
        <v>119</v>
      </c>
      <c r="E12" s="80" t="s">
        <v>120</v>
      </c>
      <c r="F12" s="80" t="s">
        <v>121</v>
      </c>
      <c r="G12" s="80" t="s">
        <v>122</v>
      </c>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row>
    <row r="13" spans="1:32" ht="15" customHeight="1">
      <c r="A13" s="73"/>
      <c r="B13" s="81">
        <v>1990</v>
      </c>
      <c r="C13" s="81">
        <v>77.749999999999986</v>
      </c>
      <c r="D13" s="81">
        <v>1.7749999999999999</v>
      </c>
      <c r="E13" s="81">
        <v>2.17</v>
      </c>
      <c r="F13" s="81">
        <v>-0.48599999999999999</v>
      </c>
      <c r="G13" s="81">
        <v>9.0999999999999998E-2</v>
      </c>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row>
    <row r="14" spans="1:32" ht="15" customHeight="1">
      <c r="A14" s="73"/>
      <c r="B14" s="81">
        <v>1991</v>
      </c>
      <c r="C14" s="81">
        <v>77.325999999999979</v>
      </c>
      <c r="D14" s="81">
        <v>-0.42399999999999999</v>
      </c>
      <c r="E14" s="81">
        <v>0.13900000000000001</v>
      </c>
      <c r="F14" s="81">
        <v>-0.629</v>
      </c>
      <c r="G14" s="81">
        <v>6.6000000000000003E-2</v>
      </c>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row>
    <row r="15" spans="1:32" ht="15" customHeight="1">
      <c r="A15" s="73"/>
      <c r="B15" s="81">
        <v>1992</v>
      </c>
      <c r="C15" s="81">
        <v>78.787999999999982</v>
      </c>
      <c r="D15" s="81">
        <v>1.462</v>
      </c>
      <c r="E15" s="81">
        <v>1.992</v>
      </c>
      <c r="F15" s="81">
        <v>-0.57499999999999996</v>
      </c>
      <c r="G15" s="81">
        <v>4.4999999999999998E-2</v>
      </c>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row>
    <row r="16" spans="1:32" ht="15" customHeight="1">
      <c r="A16" s="73"/>
      <c r="B16" s="81">
        <v>1993</v>
      </c>
      <c r="C16" s="81">
        <v>79.950999999999979</v>
      </c>
      <c r="D16" s="81">
        <v>1.163</v>
      </c>
      <c r="E16" s="81">
        <v>1.665</v>
      </c>
      <c r="F16" s="81">
        <v>-0.53500000000000003</v>
      </c>
      <c r="G16" s="81">
        <v>3.3000000000000002E-2</v>
      </c>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row>
    <row r="17" spans="1:32" ht="15" customHeight="1">
      <c r="A17" s="73"/>
      <c r="B17" s="81">
        <v>1994</v>
      </c>
      <c r="C17" s="81">
        <v>81.604999999999976</v>
      </c>
      <c r="D17" s="81">
        <v>1.6539999999999999</v>
      </c>
      <c r="E17" s="81">
        <v>2.0619999999999998</v>
      </c>
      <c r="F17" s="81">
        <v>-0.45500000000000002</v>
      </c>
      <c r="G17" s="81">
        <v>4.7E-2</v>
      </c>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row>
    <row r="18" spans="1:32" ht="15" customHeight="1">
      <c r="A18" s="73"/>
      <c r="B18" s="81">
        <v>1995</v>
      </c>
      <c r="C18" s="81">
        <v>82.650999999999982</v>
      </c>
      <c r="D18" s="81">
        <v>1.046</v>
      </c>
      <c r="E18" s="81">
        <v>1.4339999999999999</v>
      </c>
      <c r="F18" s="81">
        <v>-0.42299999999999999</v>
      </c>
      <c r="G18" s="81">
        <v>3.5000000000000003E-2</v>
      </c>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row>
    <row r="19" spans="1:32" ht="15" customHeight="1">
      <c r="A19" s="73"/>
      <c r="B19" s="81">
        <v>1996</v>
      </c>
      <c r="C19" s="81">
        <v>84.711999999999989</v>
      </c>
      <c r="D19" s="81">
        <v>2.0609999999999999</v>
      </c>
      <c r="E19" s="81">
        <v>2.38</v>
      </c>
      <c r="F19" s="81">
        <v>-0.38500000000000001</v>
      </c>
      <c r="G19" s="81">
        <v>6.6000000000000003E-2</v>
      </c>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row>
    <row r="20" spans="1:32" ht="15" customHeight="1">
      <c r="A20" s="73"/>
      <c r="B20" s="81">
        <v>1997</v>
      </c>
      <c r="C20" s="81">
        <v>86.071999999999989</v>
      </c>
      <c r="D20" s="81">
        <v>1.36</v>
      </c>
      <c r="E20" s="81">
        <v>1.9039999999999999</v>
      </c>
      <c r="F20" s="81">
        <v>-0.56299999999999994</v>
      </c>
      <c r="G20" s="81">
        <v>1.9E-2</v>
      </c>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row>
    <row r="21" spans="1:32" ht="15" customHeight="1">
      <c r="A21" s="73"/>
      <c r="B21" s="81">
        <v>1998</v>
      </c>
      <c r="C21" s="81">
        <v>87.058999999999983</v>
      </c>
      <c r="D21" s="81">
        <v>0.98699999999999999</v>
      </c>
      <c r="E21" s="81">
        <v>1.6160000000000001</v>
      </c>
      <c r="F21" s="81">
        <v>-0.64500000000000002</v>
      </c>
      <c r="G21" s="81">
        <v>1.6E-2</v>
      </c>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row>
    <row r="22" spans="1:32" ht="15" customHeight="1">
      <c r="A22" s="73"/>
      <c r="B22" s="81">
        <v>1999</v>
      </c>
      <c r="C22" s="81">
        <v>87.842999999999989</v>
      </c>
      <c r="D22" s="81">
        <v>0.78400000000000003</v>
      </c>
      <c r="E22" s="81">
        <v>1.2929999999999999</v>
      </c>
      <c r="F22" s="81">
        <v>-0.52900000000000003</v>
      </c>
      <c r="G22" s="81">
        <v>0.02</v>
      </c>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row>
    <row r="23" spans="1:32" ht="15" customHeight="1">
      <c r="A23" s="73"/>
      <c r="B23" s="81">
        <v>2000</v>
      </c>
      <c r="C23" s="81">
        <v>90.038999999999987</v>
      </c>
      <c r="D23" s="81">
        <v>2.1960000000000002</v>
      </c>
      <c r="E23" s="81">
        <v>2.645</v>
      </c>
      <c r="F23" s="81">
        <v>-0.50600000000000001</v>
      </c>
      <c r="G23" s="81">
        <v>5.7000000000000002E-2</v>
      </c>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row>
    <row r="24" spans="1:32" ht="15" customHeight="1">
      <c r="A24" s="73"/>
      <c r="B24" s="81">
        <v>2001</v>
      </c>
      <c r="C24" s="81">
        <v>92.091999999999985</v>
      </c>
      <c r="D24" s="81">
        <v>2.0529999999999999</v>
      </c>
      <c r="E24" s="81">
        <v>2.6379999999999999</v>
      </c>
      <c r="F24" s="81">
        <v>-0.60399999999999998</v>
      </c>
      <c r="G24" s="81">
        <v>1.9E-2</v>
      </c>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row>
    <row r="25" spans="1:32" ht="15" customHeight="1">
      <c r="A25" s="73"/>
      <c r="B25" s="81">
        <v>2002</v>
      </c>
      <c r="C25" s="81">
        <v>92.387999999999991</v>
      </c>
      <c r="D25" s="81">
        <v>0.29599999999999999</v>
      </c>
      <c r="E25" s="81">
        <v>1.038</v>
      </c>
      <c r="F25" s="81">
        <v>-0.75700000000000001</v>
      </c>
      <c r="G25" s="81">
        <v>1.4999999999999999E-2</v>
      </c>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row>
    <row r="26" spans="1:32" ht="15" customHeight="1">
      <c r="A26" s="73"/>
      <c r="B26" s="81">
        <v>2003</v>
      </c>
      <c r="C26" s="81">
        <v>94.254999999999995</v>
      </c>
      <c r="D26" s="81">
        <v>1.867</v>
      </c>
      <c r="E26" s="81">
        <v>2.5139999999999998</v>
      </c>
      <c r="F26" s="81">
        <v>-0.68899999999999995</v>
      </c>
      <c r="G26" s="81">
        <v>4.2000000000000003E-2</v>
      </c>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row>
    <row r="27" spans="1:32" ht="15" customHeight="1">
      <c r="A27" s="73"/>
      <c r="B27" s="81">
        <v>2004</v>
      </c>
      <c r="C27" s="81">
        <v>96.039000000000001</v>
      </c>
      <c r="D27" s="81">
        <v>1.784</v>
      </c>
      <c r="E27" s="81">
        <v>2.3090000000000002</v>
      </c>
      <c r="F27" s="81">
        <v>-0.54600000000000004</v>
      </c>
      <c r="G27" s="81">
        <v>2.1000000000000001E-2</v>
      </c>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row>
    <row r="28" spans="1:32" ht="15" customHeight="1">
      <c r="A28" s="73"/>
      <c r="B28" s="81">
        <v>2005</v>
      </c>
      <c r="C28" s="81">
        <v>97.454000000000008</v>
      </c>
      <c r="D28" s="81">
        <v>1.415</v>
      </c>
      <c r="E28" s="81">
        <v>1.8480000000000001</v>
      </c>
      <c r="F28" s="81">
        <v>-0.46400000000000002</v>
      </c>
      <c r="G28" s="81">
        <v>3.1E-2</v>
      </c>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row>
    <row r="29" spans="1:32" ht="15" customHeight="1">
      <c r="A29" s="73"/>
      <c r="B29" s="81">
        <v>2006</v>
      </c>
      <c r="C29" s="81">
        <v>99.016000000000005</v>
      </c>
      <c r="D29" s="81">
        <v>1.5620000000000001</v>
      </c>
      <c r="E29" s="81">
        <v>1.95</v>
      </c>
      <c r="F29" s="81">
        <v>-0.41599999999999998</v>
      </c>
      <c r="G29" s="81">
        <v>2.8000000000000001E-2</v>
      </c>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row>
    <row r="30" spans="1:32" ht="15" customHeight="1">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row>
    <row r="31" spans="1:32" ht="15" customHeight="1">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1:32" ht="14.4">
      <c r="A32" s="46"/>
      <c r="B32" s="79" t="s">
        <v>123</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row>
    <row r="33" spans="1:32" ht="14.4">
      <c r="A33" s="46"/>
      <c r="B33" s="1771" t="s">
        <v>124</v>
      </c>
      <c r="C33" s="1660"/>
      <c r="D33" s="1660"/>
      <c r="E33" s="1660"/>
      <c r="F33" s="46"/>
      <c r="G33" s="46"/>
      <c r="H33" s="46"/>
      <c r="I33" s="46"/>
      <c r="J33" s="46"/>
      <c r="K33" s="46"/>
      <c r="L33" s="46"/>
      <c r="M33" s="46"/>
      <c r="N33" s="46"/>
      <c r="O33" s="82"/>
      <c r="P33" s="82"/>
      <c r="Q33" s="46"/>
      <c r="R33" s="46"/>
      <c r="S33" s="46"/>
      <c r="T33" s="46"/>
      <c r="U33" s="46"/>
      <c r="V33" s="46"/>
      <c r="W33" s="46"/>
      <c r="X33" s="46"/>
      <c r="Y33" s="46"/>
      <c r="Z33" s="46"/>
      <c r="AA33" s="46"/>
      <c r="AB33" s="46"/>
      <c r="AC33" s="46"/>
      <c r="AD33" s="46"/>
      <c r="AE33" s="46"/>
      <c r="AF33" s="46"/>
    </row>
    <row r="34" spans="1:32" ht="14.4">
      <c r="A34" s="46"/>
      <c r="B34" s="1771" t="s">
        <v>125</v>
      </c>
      <c r="C34" s="1660"/>
      <c r="D34" s="1660"/>
      <c r="E34" s="1660"/>
      <c r="F34" s="46"/>
      <c r="G34" s="46"/>
      <c r="H34" s="46"/>
      <c r="I34" s="46"/>
      <c r="J34" s="46"/>
      <c r="K34" s="46"/>
      <c r="L34" s="46"/>
      <c r="M34" s="46"/>
      <c r="N34" s="46"/>
      <c r="O34" s="82"/>
      <c r="P34" s="82"/>
      <c r="Q34" s="46"/>
      <c r="R34" s="46"/>
      <c r="S34" s="46"/>
      <c r="T34" s="46"/>
      <c r="U34" s="46"/>
      <c r="V34" s="46"/>
      <c r="W34" s="46"/>
      <c r="X34" s="46"/>
      <c r="Y34" s="46"/>
      <c r="Z34" s="46"/>
      <c r="AA34" s="46"/>
      <c r="AB34" s="46"/>
      <c r="AC34" s="46"/>
      <c r="AD34" s="46"/>
      <c r="AE34" s="46"/>
      <c r="AF34" s="46"/>
    </row>
    <row r="35" spans="1:32" ht="14.4">
      <c r="A35" s="46"/>
      <c r="B35" s="1772" t="s">
        <v>126</v>
      </c>
      <c r="C35" s="1660"/>
      <c r="D35" s="1660"/>
      <c r="E35" s="1660"/>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row>
    <row r="36" spans="1:32" ht="1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row>
    <row r="37" spans="1:32" ht="15" customHeight="1">
      <c r="A37" s="46"/>
      <c r="B37" s="1761" t="s">
        <v>127</v>
      </c>
      <c r="C37" s="1762"/>
      <c r="D37" s="1762"/>
      <c r="E37" s="1762"/>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row>
    <row r="38" spans="1:32" ht="15" customHeight="1">
      <c r="A38" s="73"/>
      <c r="B38" s="83" t="s">
        <v>128</v>
      </c>
      <c r="C38" s="1763" t="s">
        <v>129</v>
      </c>
      <c r="D38" s="1764"/>
      <c r="E38" s="85">
        <v>2006</v>
      </c>
      <c r="F38" s="32"/>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1:32" ht="15" customHeight="1">
      <c r="A39" s="73"/>
      <c r="B39" s="86" t="s">
        <v>130</v>
      </c>
      <c r="C39" s="1766" t="s">
        <v>131</v>
      </c>
      <c r="D39" s="1764"/>
      <c r="E39" s="5">
        <v>-0.53</v>
      </c>
      <c r="F39" s="33"/>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row>
    <row r="40" spans="1:32" ht="15" customHeight="1">
      <c r="A40" s="73"/>
      <c r="B40" s="86" t="s">
        <v>130</v>
      </c>
      <c r="C40" s="1766" t="s">
        <v>132</v>
      </c>
      <c r="D40" s="1764"/>
      <c r="E40" s="5">
        <v>-0.03</v>
      </c>
      <c r="F40" s="33"/>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row>
    <row r="41" spans="1:32" ht="15" customHeight="1">
      <c r="A41" s="73"/>
      <c r="B41" s="86" t="s">
        <v>130</v>
      </c>
      <c r="C41" s="1766" t="s">
        <v>133</v>
      </c>
      <c r="D41" s="1764"/>
      <c r="E41" s="5">
        <v>0.16</v>
      </c>
      <c r="F41" s="33"/>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row>
    <row r="42" spans="1:32" ht="15" customHeight="1">
      <c r="A42" s="73"/>
      <c r="B42" s="86" t="s">
        <v>130</v>
      </c>
      <c r="C42" s="1766" t="s">
        <v>134</v>
      </c>
      <c r="D42" s="1764"/>
      <c r="E42" s="5">
        <v>0</v>
      </c>
      <c r="F42" s="33"/>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row>
    <row r="43" spans="1:32" ht="15" customHeight="1">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row>
    <row r="44" spans="1:32" ht="15" customHeight="1">
      <c r="A44" s="46"/>
      <c r="B44" s="1761" t="s">
        <v>135</v>
      </c>
      <c r="C44" s="1762"/>
      <c r="D44" s="1762"/>
      <c r="E44" s="1762"/>
      <c r="F44" s="30"/>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row>
    <row r="45" spans="1:32" ht="15" customHeight="1">
      <c r="A45" s="73"/>
      <c r="B45" s="83" t="s">
        <v>128</v>
      </c>
      <c r="C45" s="83" t="s">
        <v>136</v>
      </c>
      <c r="D45" s="83" t="s">
        <v>137</v>
      </c>
      <c r="E45" s="85">
        <v>2006</v>
      </c>
      <c r="F45" s="32"/>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row>
    <row r="46" spans="1:32" ht="15" customHeight="1">
      <c r="A46" s="73"/>
      <c r="B46" s="86" t="s">
        <v>130</v>
      </c>
      <c r="C46" s="86" t="s">
        <v>138</v>
      </c>
      <c r="D46" s="86" t="s">
        <v>139</v>
      </c>
      <c r="E46" s="5">
        <v>-0.04</v>
      </c>
      <c r="F46" s="33"/>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row>
    <row r="47" spans="1:32" ht="15" customHeight="1">
      <c r="A47" s="73"/>
      <c r="B47" s="86" t="s">
        <v>130</v>
      </c>
      <c r="C47" s="86" t="s">
        <v>138</v>
      </c>
      <c r="D47" s="86" t="s">
        <v>140</v>
      </c>
      <c r="E47" s="5">
        <v>-0.11</v>
      </c>
      <c r="F47" s="33"/>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row>
    <row r="48" spans="1:32" ht="15" customHeight="1">
      <c r="A48" s="73"/>
      <c r="B48" s="86" t="s">
        <v>130</v>
      </c>
      <c r="C48" s="86" t="s">
        <v>138</v>
      </c>
      <c r="D48" s="86" t="s">
        <v>141</v>
      </c>
      <c r="E48" s="5">
        <v>0</v>
      </c>
      <c r="F48" s="33"/>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row>
    <row r="49" spans="1:32" ht="15" customHeight="1">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row>
    <row r="50" spans="1:32" ht="15" customHeight="1">
      <c r="A50" s="46"/>
      <c r="B50" s="1761" t="s">
        <v>142</v>
      </c>
      <c r="C50" s="1762"/>
      <c r="D50" s="1762"/>
      <c r="E50" s="1762"/>
      <c r="F50" s="30"/>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row>
    <row r="51" spans="1:32" ht="15" customHeight="1">
      <c r="A51" s="73"/>
      <c r="B51" s="83" t="s">
        <v>128</v>
      </c>
      <c r="C51" s="83" t="s">
        <v>136</v>
      </c>
      <c r="D51" s="83" t="s">
        <v>137</v>
      </c>
      <c r="E51" s="85">
        <v>2006</v>
      </c>
      <c r="F51" s="32"/>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row>
    <row r="52" spans="1:32" ht="15" customHeight="1">
      <c r="A52" s="73"/>
      <c r="B52" s="86" t="s">
        <v>130</v>
      </c>
      <c r="C52" s="86" t="s">
        <v>138</v>
      </c>
      <c r="D52" s="86" t="s">
        <v>139</v>
      </c>
      <c r="E52" s="5">
        <v>0.09</v>
      </c>
      <c r="F52" s="33"/>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row>
    <row r="53" spans="1:32" ht="15" customHeight="1">
      <c r="A53" s="73"/>
      <c r="B53" s="86" t="s">
        <v>130</v>
      </c>
      <c r="C53" s="86" t="s">
        <v>138</v>
      </c>
      <c r="D53" s="86" t="s">
        <v>140</v>
      </c>
      <c r="E53" s="5">
        <v>0.22</v>
      </c>
      <c r="F53" s="33"/>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2" ht="15" customHeight="1">
      <c r="A54" s="73"/>
      <c r="B54" s="86" t="s">
        <v>130</v>
      </c>
      <c r="C54" s="86" t="s">
        <v>138</v>
      </c>
      <c r="D54" s="86" t="s">
        <v>141</v>
      </c>
      <c r="E54" s="5">
        <v>0.02</v>
      </c>
      <c r="F54" s="33"/>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row>
    <row r="55" spans="1:32" ht="15" customHeight="1">
      <c r="A55" s="46"/>
      <c r="B55" s="46" t="s">
        <v>143</v>
      </c>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row>
    <row r="56" spans="1:32" ht="14.4">
      <c r="A56" s="46"/>
      <c r="B56" s="79"/>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row>
    <row r="57" spans="1:32" ht="14.4">
      <c r="A57" s="46"/>
      <c r="B57" s="89" t="s">
        <v>144</v>
      </c>
      <c r="C57" s="89"/>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row>
    <row r="58" spans="1:32" ht="12">
      <c r="A58" s="73"/>
      <c r="B58" s="83" t="s">
        <v>145</v>
      </c>
      <c r="C58" s="87">
        <v>2006</v>
      </c>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row>
    <row r="59" spans="1:32" ht="12">
      <c r="A59" s="73"/>
      <c r="B59" s="86" t="s">
        <v>146</v>
      </c>
      <c r="C59" s="88">
        <f>-D29*(44/12)</f>
        <v>-5.7273333333333332</v>
      </c>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row>
    <row r="60" spans="1:32" ht="12">
      <c r="A60" s="73"/>
      <c r="B60" s="86" t="s">
        <v>147</v>
      </c>
      <c r="C60" s="88">
        <f>C59*0.196</f>
        <v>-1.1225573333333334</v>
      </c>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row>
    <row r="61" spans="1:32" ht="12">
      <c r="A61" s="73"/>
      <c r="B61" s="86" t="s">
        <v>148</v>
      </c>
      <c r="C61" s="88">
        <f t="shared" ref="C61:C63" si="0">E39+E46+E52</f>
        <v>-0.48000000000000009</v>
      </c>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ht="12">
      <c r="A62" s="73"/>
      <c r="B62" s="86" t="s">
        <v>149</v>
      </c>
      <c r="C62" s="88">
        <f t="shared" si="0"/>
        <v>7.9999999999999988E-2</v>
      </c>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row>
    <row r="63" spans="1:32" ht="12">
      <c r="A63" s="73"/>
      <c r="B63" s="86" t="s">
        <v>150</v>
      </c>
      <c r="C63" s="88">
        <f t="shared" si="0"/>
        <v>0.18</v>
      </c>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row>
    <row r="64" spans="1:32" ht="12">
      <c r="A64" s="73"/>
      <c r="B64" s="86" t="s">
        <v>151</v>
      </c>
      <c r="C64" s="88">
        <f>E42</f>
        <v>0</v>
      </c>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row>
    <row r="65" spans="1:32" ht="12">
      <c r="A65" s="73"/>
      <c r="B65" s="83" t="s">
        <v>152</v>
      </c>
      <c r="C65" s="88">
        <f>SUM(C59:C64)</f>
        <v>-7.0698906666666677</v>
      </c>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row>
    <row r="66" spans="1:32" ht="10.199999999999999">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row>
    <row r="67" spans="1:32" ht="10.199999999999999">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row>
    <row r="68" spans="1:32" ht="14.4">
      <c r="A68" s="46"/>
      <c r="B68" s="77" t="s">
        <v>40</v>
      </c>
      <c r="C68" s="78"/>
      <c r="D68" s="78"/>
      <c r="E68" s="78"/>
      <c r="F68" s="78"/>
      <c r="G68" s="78"/>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row>
    <row r="69" spans="1:32" ht="10.199999999999999">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row>
    <row r="70" spans="1:32" ht="14.4">
      <c r="A70" s="46"/>
      <c r="B70" s="89" t="s">
        <v>153</v>
      </c>
      <c r="C70" s="35"/>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row>
    <row r="71" spans="1:32" ht="14.4">
      <c r="A71" s="73"/>
      <c r="B71" s="90" t="s">
        <v>154</v>
      </c>
      <c r="C71" s="91">
        <v>2006</v>
      </c>
      <c r="D71" s="32"/>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row>
    <row r="72" spans="1:32" ht="12">
      <c r="A72" s="73"/>
      <c r="B72" s="92" t="s">
        <v>153</v>
      </c>
      <c r="C72" s="93">
        <v>-0.18467683894012488</v>
      </c>
      <c r="D72" s="1591"/>
      <c r="E72" s="1592"/>
      <c r="F72" s="1592"/>
      <c r="G72" s="1592"/>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row>
    <row r="73" spans="1:32" ht="12">
      <c r="A73" s="73"/>
      <c r="B73" s="94" t="s">
        <v>155</v>
      </c>
      <c r="C73" s="95">
        <v>-8.4802520728281365E-3</v>
      </c>
      <c r="D73" s="1593"/>
      <c r="E73" s="1592"/>
      <c r="F73" s="1592"/>
      <c r="G73" s="1592"/>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row>
    <row r="74" spans="1:32" ht="12">
      <c r="A74" s="73"/>
      <c r="B74" s="94" t="s">
        <v>156</v>
      </c>
      <c r="C74" s="95">
        <v>-6.1942198859260007E-2</v>
      </c>
      <c r="D74" s="1593"/>
      <c r="E74" s="1592"/>
      <c r="F74" s="1592"/>
      <c r="G74" s="1592"/>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row>
    <row r="75" spans="1:32" ht="12">
      <c r="A75" s="73"/>
      <c r="B75" s="94" t="s">
        <v>157</v>
      </c>
      <c r="C75" s="95">
        <v>-5.6039595623909609E-2</v>
      </c>
      <c r="D75" s="1593"/>
      <c r="E75" s="1592"/>
      <c r="F75" s="1592"/>
      <c r="G75" s="1592"/>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row>
    <row r="76" spans="1:32" ht="12">
      <c r="A76" s="73"/>
      <c r="B76" s="94" t="s">
        <v>158</v>
      </c>
      <c r="C76" s="95">
        <v>-5.821479238412712E-2</v>
      </c>
      <c r="D76" s="1593"/>
      <c r="E76" s="1592"/>
      <c r="F76" s="1592"/>
      <c r="G76" s="1592"/>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row>
    <row r="77" spans="1:32" ht="10.199999999999999">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row>
    <row r="78" spans="1:32" ht="14.4">
      <c r="A78" s="46"/>
      <c r="B78" s="79" t="s">
        <v>159</v>
      </c>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row>
    <row r="79" spans="1:32" ht="10.199999999999999">
      <c r="A79" s="46"/>
      <c r="B79" s="96" t="s">
        <v>160</v>
      </c>
      <c r="C79" s="96"/>
      <c r="D79" s="97"/>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row>
    <row r="80" spans="1:32" ht="10.199999999999999">
      <c r="A80" s="73"/>
      <c r="B80" s="45"/>
      <c r="C80" s="98">
        <v>2006</v>
      </c>
      <c r="D80" s="1594"/>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row>
    <row r="81" spans="1:32" ht="10.199999999999999">
      <c r="A81" s="73"/>
      <c r="B81" s="99" t="s">
        <v>161</v>
      </c>
      <c r="C81" s="100">
        <v>-0.72</v>
      </c>
      <c r="D81" s="1595"/>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row>
    <row r="82" spans="1:32" ht="10.199999999999999">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row>
    <row r="83" spans="1:32" ht="10.199999999999999">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row>
    <row r="84" spans="1:32" ht="10.199999999999999">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row>
    <row r="85" spans="1:32" ht="14.4">
      <c r="A85" s="46"/>
      <c r="B85" s="77" t="s">
        <v>41</v>
      </c>
      <c r="C85" s="78"/>
      <c r="D85" s="78"/>
      <c r="E85" s="78"/>
      <c r="F85" s="78"/>
      <c r="G85" s="78"/>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row>
    <row r="86" spans="1:32" ht="10.199999999999999">
      <c r="A86" s="46"/>
      <c r="B86" s="35"/>
      <c r="C86" s="35"/>
      <c r="D86" s="35"/>
      <c r="E86" s="35"/>
      <c r="F86" s="35"/>
      <c r="G86" s="35"/>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row>
    <row r="87" spans="1:32" ht="48">
      <c r="A87" s="73"/>
      <c r="B87" s="81" t="s">
        <v>77</v>
      </c>
      <c r="C87" s="81" t="s">
        <v>162</v>
      </c>
      <c r="D87" s="81" t="s">
        <v>163</v>
      </c>
      <c r="E87" s="81" t="s">
        <v>164</v>
      </c>
      <c r="F87" s="81" t="s">
        <v>165</v>
      </c>
      <c r="G87" s="81" t="s">
        <v>166</v>
      </c>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row>
    <row r="88" spans="1:32" ht="12">
      <c r="A88" s="73"/>
      <c r="B88" s="81">
        <v>2006</v>
      </c>
      <c r="C88" s="101">
        <v>4686</v>
      </c>
      <c r="D88" s="102">
        <v>0.01</v>
      </c>
      <c r="E88" s="81">
        <v>1.57</v>
      </c>
      <c r="F88" s="101">
        <f>K$6</f>
        <v>265</v>
      </c>
      <c r="G88" s="103">
        <f>C88*D88*E88*F88/1000000</f>
        <v>1.9496103000000001E-2</v>
      </c>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row>
    <row r="89" spans="1:32" ht="10.199999999999999">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row>
    <row r="90" spans="1:32" ht="10.199999999999999">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row>
    <row r="91" spans="1:32" ht="10.199999999999999">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row>
    <row r="92" spans="1:32" ht="14.4">
      <c r="A92" s="46"/>
      <c r="B92" s="77" t="s">
        <v>42</v>
      </c>
      <c r="C92" s="78"/>
      <c r="D92" s="78"/>
      <c r="E92" s="78"/>
      <c r="F92" s="78"/>
      <c r="G92" s="78"/>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row>
    <row r="93" spans="1:32" ht="10.199999999999999">
      <c r="A93" s="46"/>
      <c r="B93" s="46"/>
      <c r="C93" s="35"/>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row>
    <row r="94" spans="1:32" ht="20.399999999999999">
      <c r="A94" s="46"/>
      <c r="B94" s="45"/>
      <c r="C94" s="104" t="s">
        <v>167</v>
      </c>
      <c r="D94" s="1241"/>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row>
    <row r="95" spans="1:32" ht="10.199999999999999">
      <c r="A95" s="73"/>
      <c r="B95" s="45"/>
      <c r="C95" s="105">
        <v>2006</v>
      </c>
      <c r="D95" s="1241"/>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row>
    <row r="96" spans="1:32" ht="10.199999999999999">
      <c r="A96" s="73"/>
      <c r="B96" s="106" t="s">
        <v>168</v>
      </c>
      <c r="C96" s="107">
        <v>2458</v>
      </c>
      <c r="D96" s="1187"/>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row>
    <row r="97" spans="1:32" ht="10.199999999999999">
      <c r="A97" s="73"/>
      <c r="B97" s="108" t="s">
        <v>169</v>
      </c>
      <c r="C97" s="109">
        <v>152440</v>
      </c>
      <c r="D97" s="1462"/>
      <c r="E97" s="152"/>
      <c r="F97" s="152"/>
      <c r="G97" s="152"/>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row>
    <row r="98" spans="1:32" ht="10.199999999999999">
      <c r="A98" s="73"/>
      <c r="B98" s="108" t="s">
        <v>170</v>
      </c>
      <c r="C98" s="110">
        <v>0.45</v>
      </c>
      <c r="D98" s="1411"/>
      <c r="E98" s="1467"/>
      <c r="F98" s="1467"/>
      <c r="G98" s="1467"/>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row>
    <row r="99" spans="1:32" ht="10.199999999999999">
      <c r="A99" s="73"/>
      <c r="B99" s="108"/>
      <c r="C99" s="107"/>
      <c r="D99" s="1187"/>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row>
    <row r="100" spans="1:32" ht="10.199999999999999">
      <c r="A100" s="73"/>
      <c r="B100" s="108" t="s">
        <v>171</v>
      </c>
      <c r="C100" s="107">
        <v>0.11</v>
      </c>
      <c r="D100" s="1187"/>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row>
    <row r="101" spans="1:32" ht="10.199999999999999">
      <c r="A101" s="73"/>
      <c r="B101" s="106" t="s">
        <v>172</v>
      </c>
      <c r="C101" s="111">
        <f>C96*C97*C98*C100/1000000</f>
        <v>18.547527239999997</v>
      </c>
      <c r="D101" s="1596"/>
      <c r="E101" s="1597"/>
      <c r="F101" s="1597"/>
      <c r="G101" s="1597"/>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row>
    <row r="102" spans="1:32" ht="10.199999999999999">
      <c r="A102" s="73"/>
      <c r="B102" s="45"/>
      <c r="C102" s="112"/>
      <c r="D102" s="152"/>
      <c r="E102" s="152"/>
      <c r="F102" s="152"/>
      <c r="G102" s="152"/>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row>
    <row r="103" spans="1:32" ht="10.199999999999999">
      <c r="A103" s="73"/>
      <c r="B103" s="108" t="s">
        <v>171</v>
      </c>
      <c r="C103" s="107">
        <v>8.1</v>
      </c>
      <c r="D103" s="1187"/>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row>
    <row r="104" spans="1:32" ht="10.199999999999999">
      <c r="A104" s="73"/>
      <c r="B104" s="106" t="s">
        <v>173</v>
      </c>
      <c r="C104" s="113">
        <f>(C96*C97*C98*C103)/1000000</f>
        <v>1365.7724603999998</v>
      </c>
      <c r="D104" s="1598"/>
      <c r="E104" s="1599"/>
      <c r="F104" s="1599"/>
      <c r="G104" s="1599"/>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row>
    <row r="105" spans="1:32" ht="10.199999999999999">
      <c r="A105" s="46"/>
      <c r="B105" s="35"/>
      <c r="C105" s="35"/>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row>
    <row r="106" spans="1:32" ht="20.399999999999999">
      <c r="A106" s="73"/>
      <c r="B106" s="45"/>
      <c r="C106" s="104" t="s">
        <v>174</v>
      </c>
      <c r="D106" s="1241"/>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row>
    <row r="107" spans="1:32" ht="10.199999999999999">
      <c r="A107" s="73"/>
      <c r="B107" s="45"/>
      <c r="C107" s="105">
        <v>2006</v>
      </c>
      <c r="D107" s="1241"/>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row>
    <row r="108" spans="1:32" ht="10.199999999999999">
      <c r="A108" s="73"/>
      <c r="B108" s="106" t="s">
        <v>168</v>
      </c>
      <c r="C108" s="107">
        <v>202.7</v>
      </c>
      <c r="D108" s="1187"/>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row>
    <row r="109" spans="1:32" ht="10.199999999999999">
      <c r="A109" s="73"/>
      <c r="B109" s="108" t="s">
        <v>169</v>
      </c>
      <c r="C109" s="109">
        <v>152440</v>
      </c>
      <c r="D109" s="1462"/>
      <c r="E109" s="152"/>
      <c r="F109" s="152"/>
      <c r="G109" s="152"/>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row>
    <row r="110" spans="1:32" ht="10.199999999999999">
      <c r="A110" s="73"/>
      <c r="B110" s="108" t="s">
        <v>170</v>
      </c>
      <c r="C110" s="110">
        <v>0.72</v>
      </c>
      <c r="D110" s="1411"/>
      <c r="E110" s="1467"/>
      <c r="F110" s="1467"/>
      <c r="G110" s="1467"/>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row>
    <row r="111" spans="1:32" ht="10.199999999999999">
      <c r="A111" s="73"/>
      <c r="B111" s="108"/>
      <c r="C111" s="107"/>
      <c r="D111" s="1187"/>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row>
    <row r="112" spans="1:32" ht="10.199999999999999">
      <c r="A112" s="73"/>
      <c r="B112" s="108" t="s">
        <v>171</v>
      </c>
      <c r="C112" s="107">
        <v>0.11</v>
      </c>
      <c r="D112" s="1187"/>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row>
    <row r="113" spans="1:32" ht="10.199999999999999">
      <c r="A113" s="73"/>
      <c r="B113" s="106" t="s">
        <v>172</v>
      </c>
      <c r="C113" s="111">
        <f>C108*C109*C110*C112/1000000</f>
        <v>2.4472473695999999</v>
      </c>
      <c r="D113" s="1596"/>
      <c r="E113" s="1597"/>
      <c r="F113" s="1597"/>
      <c r="G113" s="1597"/>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row>
    <row r="114" spans="1:32" ht="10.199999999999999">
      <c r="A114" s="73"/>
      <c r="B114" s="45"/>
      <c r="C114" s="112"/>
      <c r="D114" s="152"/>
      <c r="E114" s="152"/>
      <c r="F114" s="152"/>
      <c r="G114" s="152"/>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row>
    <row r="115" spans="1:32" ht="10.199999999999999">
      <c r="A115" s="73"/>
      <c r="B115" s="108" t="s">
        <v>171</v>
      </c>
      <c r="C115" s="107">
        <v>8.1</v>
      </c>
      <c r="D115" s="1187"/>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row>
    <row r="116" spans="1:32" ht="10.199999999999999">
      <c r="A116" s="73"/>
      <c r="B116" s="106" t="s">
        <v>173</v>
      </c>
      <c r="C116" s="113">
        <f>(C108*C109*C110*C115)/1000000</f>
        <v>180.206397216</v>
      </c>
      <c r="D116" s="1598"/>
      <c r="E116" s="1599"/>
      <c r="F116" s="1599"/>
      <c r="G116" s="1599"/>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row>
    <row r="117" spans="1:32" ht="10.199999999999999">
      <c r="A117" s="46"/>
      <c r="B117" s="35"/>
      <c r="C117" s="35"/>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row>
    <row r="118" spans="1:32" ht="10.199999999999999">
      <c r="A118" s="73"/>
      <c r="B118" s="45"/>
      <c r="C118" s="105">
        <v>2006</v>
      </c>
      <c r="D118" s="1241"/>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row>
    <row r="119" spans="1:32" ht="10.199999999999999">
      <c r="A119" s="73"/>
      <c r="B119" s="106" t="s">
        <v>173</v>
      </c>
      <c r="C119" s="114">
        <f>C116+C104</f>
        <v>1545.9788576159997</v>
      </c>
      <c r="D119" s="1600"/>
      <c r="E119" s="1599"/>
      <c r="F119" s="1599"/>
      <c r="G119" s="1599"/>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row>
    <row r="120" spans="1:32" ht="10.199999999999999">
      <c r="A120" s="73"/>
      <c r="B120" s="106" t="s">
        <v>175</v>
      </c>
      <c r="C120" s="1610">
        <f>$K$5</f>
        <v>28</v>
      </c>
      <c r="D120" s="1187"/>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row>
    <row r="121" spans="1:32" ht="10.199999999999999">
      <c r="A121" s="73"/>
      <c r="B121" s="106" t="s">
        <v>176</v>
      </c>
      <c r="C121" s="115">
        <f>(C119*C120)/1000000</f>
        <v>4.3287408013247992E-2</v>
      </c>
      <c r="D121" s="1596"/>
      <c r="E121" s="1597"/>
      <c r="F121" s="1597"/>
      <c r="G121" s="1597"/>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row>
    <row r="122" spans="1:32" ht="10.199999999999999">
      <c r="A122" s="73"/>
      <c r="B122" s="106" t="s">
        <v>172</v>
      </c>
      <c r="C122" s="116">
        <f>C101+C113</f>
        <v>20.994774609599997</v>
      </c>
      <c r="D122" s="1601"/>
      <c r="E122" s="1597"/>
      <c r="F122" s="1597"/>
      <c r="G122" s="1597"/>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row>
    <row r="123" spans="1:32" ht="10.199999999999999">
      <c r="A123" s="73"/>
      <c r="B123" s="106" t="s">
        <v>165</v>
      </c>
      <c r="C123" s="1610">
        <f>$K$6</f>
        <v>265</v>
      </c>
      <c r="D123" s="1187"/>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row>
    <row r="124" spans="1:32" ht="10.199999999999999">
      <c r="A124" s="73"/>
      <c r="B124" s="106" t="s">
        <v>176</v>
      </c>
      <c r="C124" s="115">
        <f>(C122*C123)/1000000</f>
        <v>5.5636152715439991E-3</v>
      </c>
      <c r="D124" s="1596"/>
      <c r="E124" s="1597"/>
      <c r="F124" s="1597"/>
      <c r="G124" s="1597"/>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row>
    <row r="125" spans="1:32" ht="10.199999999999999">
      <c r="A125" s="73"/>
      <c r="B125" s="45"/>
      <c r="C125" s="107"/>
      <c r="D125" s="1187"/>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row>
    <row r="126" spans="1:32" ht="10.199999999999999">
      <c r="A126" s="73"/>
      <c r="B126" s="45" t="s">
        <v>177</v>
      </c>
      <c r="C126" s="111">
        <f>C121+C124</f>
        <v>4.8851023284791989E-2</v>
      </c>
      <c r="D126" s="1596"/>
      <c r="E126" s="1597"/>
      <c r="F126" s="1597"/>
      <c r="G126" s="1597"/>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row>
    <row r="127" spans="1:32" ht="10.199999999999999">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row>
    <row r="128" spans="1:32" ht="10.199999999999999">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row>
    <row r="129" spans="1:32" ht="14.4">
      <c r="A129" s="46"/>
      <c r="B129" s="77" t="s">
        <v>43</v>
      </c>
      <c r="C129" s="78"/>
      <c r="D129" s="78"/>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row>
    <row r="130" spans="1:32" ht="10.199999999999999">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row>
    <row r="131" spans="1:32" ht="12">
      <c r="A131" s="46"/>
      <c r="B131" s="84" t="s">
        <v>178</v>
      </c>
      <c r="C131" s="35"/>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row>
    <row r="132" spans="1:32" ht="10.199999999999999">
      <c r="A132" s="73"/>
      <c r="B132" s="45"/>
      <c r="C132" s="117">
        <v>2006</v>
      </c>
      <c r="D132" s="1602"/>
      <c r="E132" s="46"/>
      <c r="F132" s="46"/>
      <c r="G132" s="46"/>
      <c r="H132" s="1660"/>
      <c r="I132" s="1660"/>
      <c r="J132" s="1660"/>
      <c r="K132" s="46"/>
      <c r="L132" s="46"/>
      <c r="M132" s="46"/>
      <c r="N132" s="46"/>
      <c r="O132" s="46"/>
      <c r="P132" s="46"/>
      <c r="Q132" s="46"/>
      <c r="R132" s="46"/>
      <c r="S132" s="46"/>
      <c r="T132" s="46"/>
      <c r="U132" s="46"/>
      <c r="V132" s="46"/>
      <c r="W132" s="46"/>
      <c r="X132" s="46"/>
      <c r="Y132" s="46"/>
      <c r="Z132" s="46"/>
      <c r="AA132" s="46"/>
      <c r="AB132" s="46"/>
      <c r="AC132" s="46"/>
      <c r="AD132" s="46"/>
      <c r="AE132" s="46"/>
      <c r="AF132" s="46"/>
    </row>
    <row r="133" spans="1:32" ht="10.199999999999999">
      <c r="A133" s="73"/>
      <c r="B133" s="118" t="s">
        <v>152</v>
      </c>
      <c r="C133" s="119">
        <v>-0.39400000000000002</v>
      </c>
      <c r="D133" s="1602"/>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row>
    <row r="134" spans="1:32" ht="10.199999999999999">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row>
    <row r="135" spans="1:32" ht="10.199999999999999">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row>
    <row r="136" spans="1:32" ht="10.199999999999999">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row>
    <row r="137" spans="1:32" ht="14.4">
      <c r="A137" s="46"/>
      <c r="B137" s="77" t="s">
        <v>179</v>
      </c>
      <c r="C137" s="78"/>
      <c r="D137" s="78"/>
      <c r="E137" s="46"/>
      <c r="F137" s="46"/>
      <c r="G137" s="46"/>
      <c r="H137" s="46"/>
      <c r="I137" s="46"/>
      <c r="J137" s="46"/>
      <c r="K137" s="46"/>
      <c r="L137" s="82"/>
      <c r="M137" s="82"/>
      <c r="N137" s="82"/>
      <c r="O137" s="82"/>
      <c r="P137" s="82"/>
      <c r="Q137" s="82"/>
      <c r="R137" s="82"/>
      <c r="S137" s="82"/>
      <c r="T137" s="46"/>
      <c r="U137" s="46"/>
      <c r="V137" s="46"/>
      <c r="W137" s="46"/>
      <c r="X137" s="46"/>
      <c r="Y137" s="46"/>
      <c r="Z137" s="46"/>
      <c r="AA137" s="46"/>
      <c r="AB137" s="46"/>
      <c r="AC137" s="46"/>
      <c r="AD137" s="46"/>
      <c r="AE137" s="46"/>
      <c r="AF137" s="46"/>
    </row>
    <row r="138" spans="1:32" ht="10.199999999999999">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row>
    <row r="139" spans="1:32" ht="14.4">
      <c r="A139" s="46"/>
      <c r="B139" s="79" t="s">
        <v>180</v>
      </c>
      <c r="C139" s="46"/>
      <c r="D139" s="35"/>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row>
    <row r="140" spans="1:32" ht="12">
      <c r="A140" s="46"/>
      <c r="B140" s="35"/>
      <c r="C140" s="45"/>
      <c r="D140" s="120" t="s">
        <v>181</v>
      </c>
      <c r="E140" s="32"/>
      <c r="F140" s="32"/>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row>
    <row r="141" spans="1:32" ht="12">
      <c r="A141" s="73"/>
      <c r="B141" s="121" t="s">
        <v>182</v>
      </c>
      <c r="C141" s="45"/>
      <c r="D141" s="122">
        <v>2006</v>
      </c>
      <c r="E141" s="32"/>
      <c r="F141" s="32"/>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row>
    <row r="142" spans="1:32" ht="12">
      <c r="A142" s="73"/>
      <c r="B142" s="86" t="s">
        <v>183</v>
      </c>
      <c r="C142" s="45"/>
      <c r="D142" s="123">
        <v>16412.714100000001</v>
      </c>
      <c r="E142" s="1603"/>
      <c r="F142" s="1603"/>
      <c r="G142" s="152"/>
      <c r="H142" s="152"/>
      <c r="I142" s="152"/>
      <c r="J142" s="152"/>
      <c r="K142" s="46"/>
      <c r="L142" s="46"/>
      <c r="M142" s="46"/>
      <c r="N142" s="46"/>
      <c r="O142" s="46"/>
      <c r="P142" s="46"/>
      <c r="Q142" s="46"/>
      <c r="R142" s="46"/>
      <c r="S142" s="46"/>
      <c r="T142" s="46"/>
      <c r="U142" s="46"/>
      <c r="V142" s="46"/>
      <c r="W142" s="46"/>
      <c r="X142" s="46"/>
      <c r="Y142" s="46"/>
      <c r="Z142" s="46"/>
      <c r="AA142" s="46"/>
      <c r="AB142" s="46"/>
      <c r="AC142" s="46"/>
      <c r="AD142" s="46"/>
      <c r="AE142" s="46"/>
      <c r="AF142" s="46"/>
    </row>
    <row r="143" spans="1:32" ht="12">
      <c r="A143" s="73"/>
      <c r="B143" s="86" t="s">
        <v>184</v>
      </c>
      <c r="C143" s="45"/>
      <c r="D143" s="123">
        <v>181364.938719</v>
      </c>
      <c r="E143" s="1603"/>
      <c r="F143" s="1603"/>
      <c r="G143" s="152"/>
      <c r="H143" s="152"/>
      <c r="I143" s="152"/>
      <c r="J143" s="152"/>
      <c r="K143" s="46"/>
      <c r="L143" s="46"/>
      <c r="M143" s="46"/>
      <c r="N143" s="46"/>
      <c r="O143" s="46"/>
      <c r="P143" s="46"/>
      <c r="Q143" s="46"/>
      <c r="R143" s="46"/>
      <c r="S143" s="46"/>
      <c r="T143" s="46"/>
      <c r="U143" s="46"/>
      <c r="V143" s="46"/>
      <c r="W143" s="46"/>
      <c r="X143" s="46"/>
      <c r="Y143" s="46"/>
      <c r="Z143" s="46"/>
      <c r="AA143" s="46"/>
      <c r="AB143" s="46"/>
      <c r="AC143" s="46"/>
      <c r="AD143" s="46"/>
      <c r="AE143" s="46"/>
      <c r="AF143" s="46"/>
    </row>
    <row r="144" spans="1:32" ht="12">
      <c r="A144" s="73"/>
      <c r="B144" s="86" t="s">
        <v>185</v>
      </c>
      <c r="C144" s="45"/>
      <c r="D144" s="123">
        <f>5360.61*2.47105</f>
        <v>13246.3353405</v>
      </c>
      <c r="E144" s="1603"/>
      <c r="F144" s="1603"/>
      <c r="G144" s="152"/>
      <c r="H144" s="152"/>
      <c r="I144" s="152"/>
      <c r="J144" s="152"/>
      <c r="K144" s="46"/>
      <c r="L144" s="46"/>
      <c r="M144" s="46"/>
      <c r="N144" s="46"/>
      <c r="O144" s="46"/>
      <c r="P144" s="46"/>
      <c r="Q144" s="46"/>
      <c r="R144" s="46"/>
      <c r="S144" s="46"/>
      <c r="T144" s="46"/>
      <c r="U144" s="46"/>
      <c r="V144" s="46"/>
      <c r="W144" s="46"/>
      <c r="X144" s="46"/>
      <c r="Y144" s="46"/>
      <c r="Z144" s="46"/>
      <c r="AA144" s="46"/>
      <c r="AB144" s="46"/>
      <c r="AC144" s="46"/>
      <c r="AD144" s="46"/>
      <c r="AE144" s="46"/>
      <c r="AF144" s="46"/>
    </row>
    <row r="145" spans="1:32" ht="12">
      <c r="A145" s="73"/>
      <c r="B145" s="86" t="s">
        <v>186</v>
      </c>
      <c r="C145" s="45"/>
      <c r="D145" s="123">
        <f>2929.88*2.47105</f>
        <v>7239.8799740000004</v>
      </c>
      <c r="E145" s="1603"/>
      <c r="F145" s="1603"/>
      <c r="G145" s="152"/>
      <c r="H145" s="152"/>
      <c r="I145" s="152"/>
      <c r="J145" s="152"/>
      <c r="K145" s="46"/>
      <c r="L145" s="46"/>
      <c r="M145" s="46"/>
      <c r="N145" s="46"/>
      <c r="O145" s="46"/>
      <c r="P145" s="46"/>
      <c r="Q145" s="46"/>
      <c r="R145" s="46"/>
      <c r="S145" s="46"/>
      <c r="T145" s="46"/>
      <c r="U145" s="46"/>
      <c r="V145" s="46"/>
      <c r="W145" s="46"/>
      <c r="X145" s="46"/>
      <c r="Y145" s="46"/>
      <c r="Z145" s="46"/>
      <c r="AA145" s="46"/>
      <c r="AB145" s="46"/>
      <c r="AC145" s="46"/>
      <c r="AD145" s="46"/>
      <c r="AE145" s="46"/>
      <c r="AF145" s="46"/>
    </row>
    <row r="146" spans="1:32" ht="12">
      <c r="A146" s="73"/>
      <c r="B146" s="86" t="s">
        <v>187</v>
      </c>
      <c r="C146" s="45"/>
      <c r="D146" s="123">
        <f>3889.93*2.47105</f>
        <v>9612.2115264999993</v>
      </c>
      <c r="E146" s="1603"/>
      <c r="F146" s="1603"/>
      <c r="G146" s="152"/>
      <c r="H146" s="152"/>
      <c r="I146" s="152"/>
      <c r="J146" s="152"/>
      <c r="K146" s="46"/>
      <c r="L146" s="46"/>
      <c r="M146" s="46"/>
      <c r="N146" s="46"/>
      <c r="O146" s="46"/>
      <c r="P146" s="46"/>
      <c r="Q146" s="46"/>
      <c r="R146" s="46"/>
      <c r="S146" s="46"/>
      <c r="T146" s="46"/>
      <c r="U146" s="46"/>
      <c r="V146" s="46"/>
      <c r="W146" s="46"/>
      <c r="X146" s="46"/>
      <c r="Y146" s="46"/>
      <c r="Z146" s="46"/>
      <c r="AA146" s="46"/>
      <c r="AB146" s="46"/>
      <c r="AC146" s="46"/>
      <c r="AD146" s="46"/>
      <c r="AE146" s="46"/>
      <c r="AF146" s="46"/>
    </row>
    <row r="147" spans="1:32" ht="12">
      <c r="A147" s="73"/>
      <c r="B147" s="86" t="s">
        <v>188</v>
      </c>
      <c r="C147" s="45"/>
      <c r="D147" s="123">
        <f>2981.61*2.47105</f>
        <v>7367.7073905000007</v>
      </c>
      <c r="E147" s="1603"/>
      <c r="F147" s="1603"/>
      <c r="G147" s="152"/>
      <c r="H147" s="152"/>
      <c r="I147" s="152"/>
      <c r="J147" s="152"/>
      <c r="K147" s="46"/>
      <c r="L147" s="46"/>
      <c r="M147" s="46"/>
      <c r="N147" s="46"/>
      <c r="O147" s="46"/>
      <c r="P147" s="46"/>
      <c r="Q147" s="46"/>
      <c r="R147" s="46"/>
      <c r="S147" s="46"/>
      <c r="T147" s="46"/>
      <c r="U147" s="46"/>
      <c r="V147" s="46"/>
      <c r="W147" s="46"/>
      <c r="X147" s="46"/>
      <c r="Y147" s="46"/>
      <c r="Z147" s="46"/>
      <c r="AA147" s="46"/>
      <c r="AB147" s="46"/>
      <c r="AC147" s="46"/>
      <c r="AD147" s="46"/>
      <c r="AE147" s="46"/>
      <c r="AF147" s="46"/>
    </row>
    <row r="148" spans="1:32" ht="12">
      <c r="A148" s="73"/>
      <c r="B148" s="86" t="s">
        <v>189</v>
      </c>
      <c r="C148" s="45"/>
      <c r="D148" s="123">
        <f>D142+D143</f>
        <v>197777.65281900001</v>
      </c>
      <c r="E148" s="1603"/>
      <c r="F148" s="1603"/>
      <c r="G148" s="152"/>
      <c r="H148" s="152"/>
      <c r="I148" s="152"/>
      <c r="J148" s="152"/>
      <c r="K148" s="46"/>
      <c r="L148" s="46"/>
      <c r="M148" s="46"/>
      <c r="N148" s="46"/>
      <c r="O148" s="46"/>
      <c r="P148" s="46"/>
      <c r="Q148" s="46"/>
      <c r="R148" s="46"/>
      <c r="S148" s="46"/>
      <c r="T148" s="46"/>
      <c r="U148" s="46"/>
      <c r="V148" s="46"/>
      <c r="W148" s="46"/>
      <c r="X148" s="46"/>
      <c r="Y148" s="46"/>
      <c r="Z148" s="46"/>
      <c r="AA148" s="46"/>
      <c r="AB148" s="46"/>
      <c r="AC148" s="46"/>
      <c r="AD148" s="46"/>
      <c r="AE148" s="46"/>
      <c r="AF148" s="46"/>
    </row>
    <row r="149" spans="1:32" ht="12">
      <c r="A149" s="73"/>
      <c r="B149" s="86" t="s">
        <v>190</v>
      </c>
      <c r="C149" s="45"/>
      <c r="D149" s="123">
        <f>SUM(D144:D147)</f>
        <v>37466.1342315</v>
      </c>
      <c r="E149" s="1603"/>
      <c r="F149" s="1603"/>
      <c r="G149" s="152"/>
      <c r="H149" s="152"/>
      <c r="I149" s="152"/>
      <c r="J149" s="152"/>
      <c r="K149" s="46"/>
      <c r="L149" s="46"/>
      <c r="M149" s="46"/>
      <c r="N149" s="46"/>
      <c r="O149" s="46"/>
      <c r="P149" s="46"/>
      <c r="Q149" s="46"/>
      <c r="R149" s="46"/>
      <c r="S149" s="46"/>
      <c r="T149" s="46"/>
      <c r="U149" s="46"/>
      <c r="V149" s="46"/>
      <c r="W149" s="46"/>
      <c r="X149" s="46"/>
      <c r="Y149" s="46"/>
      <c r="Z149" s="46"/>
      <c r="AA149" s="46"/>
      <c r="AB149" s="46"/>
      <c r="AC149" s="46"/>
      <c r="AD149" s="46"/>
      <c r="AE149" s="46"/>
      <c r="AF149" s="46"/>
    </row>
    <row r="150" spans="1:32" ht="10.199999999999999">
      <c r="A150" s="46"/>
      <c r="B150" s="46"/>
      <c r="C150" s="46"/>
      <c r="D150" s="35"/>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row>
    <row r="151" spans="1:32" ht="24">
      <c r="A151" s="46"/>
      <c r="B151" s="35"/>
      <c r="C151" s="45"/>
      <c r="D151" s="124" t="s">
        <v>191</v>
      </c>
      <c r="E151" s="32"/>
      <c r="F151" s="32"/>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row>
    <row r="152" spans="1:32" ht="12">
      <c r="A152" s="73"/>
      <c r="B152" s="121" t="s">
        <v>182</v>
      </c>
      <c r="C152" s="125" t="s">
        <v>192</v>
      </c>
      <c r="D152" s="122">
        <v>2006</v>
      </c>
      <c r="E152" s="32"/>
      <c r="F152" s="32"/>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row>
    <row r="153" spans="1:32" ht="12">
      <c r="A153" s="73"/>
      <c r="B153" s="86" t="s">
        <v>183</v>
      </c>
      <c r="C153" s="126">
        <f t="shared" ref="C153:C154" si="1">-2.067/2.47105*44/12</f>
        <v>-3.0671172173772288</v>
      </c>
      <c r="D153" s="123">
        <f t="shared" ref="D153:D158" si="2">$C153*D142</f>
        <v>-50339.718000000008</v>
      </c>
      <c r="E153" s="1603"/>
      <c r="F153" s="1603"/>
      <c r="G153" s="152"/>
      <c r="H153" s="152"/>
      <c r="I153" s="152"/>
      <c r="J153" s="152"/>
      <c r="K153" s="46"/>
      <c r="L153" s="46"/>
      <c r="M153" s="46"/>
      <c r="N153" s="46"/>
      <c r="O153" s="46"/>
      <c r="P153" s="46"/>
      <c r="Q153" s="46"/>
      <c r="R153" s="46"/>
      <c r="S153" s="46"/>
      <c r="T153" s="46"/>
      <c r="U153" s="46"/>
      <c r="V153" s="46"/>
      <c r="W153" s="46"/>
      <c r="X153" s="46"/>
      <c r="Y153" s="46"/>
      <c r="Z153" s="46"/>
      <c r="AA153" s="46"/>
      <c r="AB153" s="46"/>
      <c r="AC153" s="46"/>
      <c r="AD153" s="46"/>
      <c r="AE153" s="46"/>
      <c r="AF153" s="46"/>
    </row>
    <row r="154" spans="1:32" ht="12">
      <c r="A154" s="73"/>
      <c r="B154" s="86" t="s">
        <v>184</v>
      </c>
      <c r="C154" s="126">
        <f t="shared" si="1"/>
        <v>-3.0671172173772288</v>
      </c>
      <c r="D154" s="123">
        <f t="shared" si="2"/>
        <v>-556267.52617361094</v>
      </c>
      <c r="E154" s="1603"/>
      <c r="F154" s="1603"/>
      <c r="G154" s="152"/>
      <c r="H154" s="152"/>
      <c r="I154" s="152"/>
      <c r="J154" s="152"/>
      <c r="K154" s="46"/>
      <c r="L154" s="46"/>
      <c r="M154" s="46"/>
      <c r="N154" s="46"/>
      <c r="O154" s="46"/>
      <c r="P154" s="46"/>
      <c r="Q154" s="46"/>
      <c r="R154" s="46"/>
      <c r="S154" s="46"/>
      <c r="T154" s="46"/>
      <c r="U154" s="46"/>
      <c r="V154" s="46"/>
      <c r="W154" s="46"/>
      <c r="X154" s="46"/>
      <c r="Y154" s="46"/>
      <c r="Z154" s="46"/>
      <c r="AA154" s="46"/>
      <c r="AB154" s="46"/>
      <c r="AC154" s="46"/>
      <c r="AD154" s="46"/>
      <c r="AE154" s="46"/>
      <c r="AF154" s="46"/>
    </row>
    <row r="155" spans="1:32" ht="12">
      <c r="A155" s="73"/>
      <c r="B155" s="86" t="s">
        <v>185</v>
      </c>
      <c r="C155" s="126">
        <f>-1.111/2.47105</f>
        <v>-0.44960644260537019</v>
      </c>
      <c r="D155" s="123">
        <f t="shared" si="2"/>
        <v>-5955.63771</v>
      </c>
      <c r="E155" s="1603"/>
      <c r="F155" s="1603"/>
      <c r="G155" s="152"/>
      <c r="H155" s="152"/>
      <c r="I155" s="152"/>
      <c r="J155" s="152"/>
      <c r="K155" s="46"/>
      <c r="L155" s="46"/>
      <c r="M155" s="46"/>
      <c r="N155" s="46"/>
      <c r="O155" s="46"/>
      <c r="P155" s="46"/>
      <c r="Q155" s="46"/>
      <c r="R155" s="46"/>
      <c r="S155" s="46"/>
      <c r="T155" s="46"/>
      <c r="U155" s="46"/>
      <c r="V155" s="46"/>
      <c r="W155" s="46"/>
      <c r="X155" s="46"/>
      <c r="Y155" s="46"/>
      <c r="Z155" s="46"/>
      <c r="AA155" s="46"/>
      <c r="AB155" s="46"/>
      <c r="AC155" s="46"/>
      <c r="AD155" s="46"/>
      <c r="AE155" s="46"/>
      <c r="AF155" s="46"/>
    </row>
    <row r="156" spans="1:32" ht="12">
      <c r="A156" s="73"/>
      <c r="B156" s="86" t="s">
        <v>186</v>
      </c>
      <c r="C156" s="126">
        <f>-1.1/2.47105</f>
        <v>-0.44515489366868338</v>
      </c>
      <c r="D156" s="123">
        <f t="shared" si="2"/>
        <v>-3222.8680000000004</v>
      </c>
      <c r="E156" s="1603"/>
      <c r="F156" s="1603"/>
      <c r="G156" s="152"/>
      <c r="H156" s="152"/>
      <c r="I156" s="152"/>
      <c r="J156" s="152"/>
      <c r="K156" s="46"/>
      <c r="L156" s="46"/>
      <c r="M156" s="46"/>
      <c r="N156" s="46"/>
      <c r="O156" s="46"/>
      <c r="P156" s="46"/>
      <c r="Q156" s="46"/>
      <c r="R156" s="46"/>
      <c r="S156" s="46"/>
      <c r="T156" s="46"/>
      <c r="U156" s="46"/>
      <c r="V156" s="46"/>
      <c r="W156" s="46"/>
      <c r="X156" s="46"/>
      <c r="Y156" s="46"/>
      <c r="Z156" s="46"/>
      <c r="AA156" s="46"/>
      <c r="AB156" s="46"/>
      <c r="AC156" s="46"/>
      <c r="AD156" s="46"/>
      <c r="AE156" s="46"/>
      <c r="AF156" s="46"/>
    </row>
    <row r="157" spans="1:32" ht="12">
      <c r="A157" s="73"/>
      <c r="B157" s="86" t="s">
        <v>187</v>
      </c>
      <c r="C157" s="126">
        <f>-0.38/2.47105</f>
        <v>-0.15378078144918153</v>
      </c>
      <c r="D157" s="123">
        <f t="shared" si="2"/>
        <v>-1478.1733999999999</v>
      </c>
      <c r="E157" s="1603"/>
      <c r="F157" s="1603"/>
      <c r="G157" s="152"/>
      <c r="H157" s="152"/>
      <c r="I157" s="152"/>
      <c r="J157" s="152"/>
      <c r="K157" s="46"/>
      <c r="L157" s="46"/>
      <c r="M157" s="46"/>
      <c r="N157" s="46"/>
      <c r="O157" s="46"/>
      <c r="P157" s="46"/>
      <c r="Q157" s="46"/>
      <c r="R157" s="46"/>
      <c r="S157" s="46"/>
      <c r="T157" s="46"/>
      <c r="U157" s="46"/>
      <c r="V157" s="46"/>
      <c r="W157" s="46"/>
      <c r="X157" s="46"/>
      <c r="Y157" s="46"/>
      <c r="Z157" s="46"/>
      <c r="AA157" s="46"/>
      <c r="AB157" s="46"/>
      <c r="AC157" s="46"/>
      <c r="AD157" s="46"/>
      <c r="AE157" s="46"/>
      <c r="AF157" s="46"/>
    </row>
    <row r="158" spans="1:32" ht="12">
      <c r="A158" s="73"/>
      <c r="B158" s="127" t="s">
        <v>188</v>
      </c>
      <c r="C158" s="128">
        <f>-1.01/2.47105</f>
        <v>-0.40873312964124564</v>
      </c>
      <c r="D158" s="129">
        <f t="shared" si="2"/>
        <v>-3011.4261000000006</v>
      </c>
      <c r="E158" s="1603"/>
      <c r="F158" s="1603"/>
      <c r="G158" s="152"/>
      <c r="H158" s="152"/>
      <c r="I158" s="152"/>
      <c r="J158" s="152"/>
      <c r="K158" s="46"/>
      <c r="L158" s="46"/>
      <c r="M158" s="46"/>
      <c r="N158" s="46"/>
      <c r="O158" s="46"/>
      <c r="P158" s="46"/>
      <c r="Q158" s="46"/>
      <c r="R158" s="46"/>
      <c r="S158" s="46"/>
      <c r="T158" s="46"/>
      <c r="U158" s="46"/>
      <c r="V158" s="46"/>
      <c r="W158" s="46"/>
      <c r="X158" s="46"/>
      <c r="Y158" s="46"/>
      <c r="Z158" s="46"/>
      <c r="AA158" s="46"/>
      <c r="AB158" s="46"/>
      <c r="AC158" s="46"/>
      <c r="AD158" s="46"/>
      <c r="AE158" s="46"/>
      <c r="AF158" s="46"/>
    </row>
    <row r="159" spans="1:32" ht="12">
      <c r="A159" s="73"/>
      <c r="B159" s="86" t="s">
        <v>189</v>
      </c>
      <c r="C159" s="45"/>
      <c r="D159" s="130">
        <f>SUM(D153:D154)</f>
        <v>-606607.24417361093</v>
      </c>
      <c r="E159" s="1603"/>
      <c r="F159" s="1603"/>
      <c r="G159" s="152"/>
      <c r="H159" s="152"/>
      <c r="I159" s="152"/>
      <c r="J159" s="152"/>
      <c r="K159" s="46"/>
      <c r="L159" s="46"/>
      <c r="M159" s="46"/>
      <c r="N159" s="46"/>
      <c r="O159" s="46"/>
      <c r="P159" s="46"/>
      <c r="Q159" s="46"/>
      <c r="R159" s="46"/>
      <c r="S159" s="46"/>
      <c r="T159" s="46"/>
      <c r="U159" s="46"/>
      <c r="V159" s="46"/>
      <c r="W159" s="46"/>
      <c r="X159" s="46"/>
      <c r="Y159" s="46"/>
      <c r="Z159" s="46"/>
      <c r="AA159" s="46"/>
      <c r="AB159" s="46"/>
      <c r="AC159" s="46"/>
      <c r="AD159" s="46"/>
      <c r="AE159" s="46"/>
      <c r="AF159" s="46"/>
    </row>
    <row r="160" spans="1:32" ht="12">
      <c r="A160" s="73"/>
      <c r="B160" s="86" t="s">
        <v>190</v>
      </c>
      <c r="C160" s="45"/>
      <c r="D160" s="123">
        <f>SUM(D155:D158)</f>
        <v>-13668.105210000002</v>
      </c>
      <c r="E160" s="1603"/>
      <c r="F160" s="1603"/>
      <c r="G160" s="152"/>
      <c r="H160" s="152"/>
      <c r="I160" s="152"/>
      <c r="J160" s="152"/>
      <c r="K160" s="46"/>
      <c r="L160" s="46"/>
      <c r="M160" s="46"/>
      <c r="N160" s="46"/>
      <c r="O160" s="46"/>
      <c r="P160" s="46"/>
      <c r="Q160" s="46"/>
      <c r="R160" s="46"/>
      <c r="S160" s="46"/>
      <c r="T160" s="46"/>
      <c r="U160" s="46"/>
      <c r="V160" s="46"/>
      <c r="W160" s="46"/>
      <c r="X160" s="46"/>
      <c r="Y160" s="46"/>
      <c r="Z160" s="46"/>
      <c r="AA160" s="46"/>
      <c r="AB160" s="46"/>
      <c r="AC160" s="46"/>
      <c r="AD160" s="46"/>
      <c r="AE160" s="46"/>
      <c r="AF160" s="46"/>
    </row>
    <row r="161" spans="1:32" ht="10.199999999999999">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row>
    <row r="162" spans="1:32" ht="24">
      <c r="A162" s="46"/>
      <c r="B162" s="35"/>
      <c r="C162" s="35"/>
      <c r="D162" s="124" t="s">
        <v>193</v>
      </c>
      <c r="E162" s="32"/>
      <c r="F162" s="32"/>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row>
    <row r="163" spans="1:32" ht="12">
      <c r="A163" s="73"/>
      <c r="B163" s="121" t="s">
        <v>182</v>
      </c>
      <c r="C163" s="131" t="s">
        <v>194</v>
      </c>
      <c r="D163" s="85">
        <v>2006</v>
      </c>
      <c r="E163" s="32"/>
      <c r="F163" s="32"/>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row>
    <row r="164" spans="1:32" ht="12">
      <c r="A164" s="73"/>
      <c r="B164" s="86" t="s">
        <v>183</v>
      </c>
      <c r="C164" s="132">
        <f>0.00747375141244849/2.47105</f>
        <v>3.0245245593769816E-3</v>
      </c>
      <c r="D164" s="123">
        <f t="shared" ref="D164:D169" si="3">$C164*D142</f>
        <v>49.640656881482876</v>
      </c>
      <c r="E164" s="1603"/>
      <c r="F164" s="1603"/>
      <c r="G164" s="152"/>
      <c r="H164" s="152"/>
      <c r="I164" s="152"/>
      <c r="J164" s="152"/>
      <c r="K164" s="46"/>
      <c r="L164" s="46"/>
      <c r="M164" s="46"/>
      <c r="N164" s="46"/>
      <c r="O164" s="46"/>
      <c r="P164" s="46"/>
      <c r="Q164" s="46"/>
      <c r="R164" s="46"/>
      <c r="S164" s="46"/>
      <c r="T164" s="46"/>
      <c r="U164" s="46"/>
      <c r="V164" s="46"/>
      <c r="W164" s="46"/>
      <c r="X164" s="46"/>
      <c r="Y164" s="46"/>
      <c r="Z164" s="46"/>
      <c r="AA164" s="46"/>
      <c r="AB164" s="46"/>
      <c r="AC164" s="46"/>
      <c r="AD164" s="46"/>
      <c r="AE164" s="46"/>
      <c r="AF164" s="46"/>
    </row>
    <row r="165" spans="1:32" ht="12">
      <c r="A165" s="73"/>
      <c r="B165" s="86" t="s">
        <v>184</v>
      </c>
      <c r="C165" s="132">
        <f>0.147994684096754/2.47105</f>
        <v>5.989141623874629E-2</v>
      </c>
      <c r="D165" s="123">
        <f t="shared" si="3"/>
        <v>10862.203035934343</v>
      </c>
      <c r="E165" s="1603"/>
      <c r="F165" s="1603"/>
      <c r="G165" s="152"/>
      <c r="H165" s="152"/>
      <c r="I165" s="152"/>
      <c r="J165" s="152"/>
      <c r="K165" s="46"/>
      <c r="L165" s="46"/>
      <c r="M165" s="46"/>
      <c r="N165" s="46"/>
      <c r="O165" s="46"/>
      <c r="P165" s="46"/>
      <c r="Q165" s="46"/>
      <c r="R165" s="46"/>
      <c r="S165" s="46"/>
      <c r="T165" s="46"/>
      <c r="U165" s="46"/>
      <c r="V165" s="46"/>
      <c r="W165" s="46"/>
      <c r="X165" s="46"/>
      <c r="Y165" s="46"/>
      <c r="Z165" s="46"/>
      <c r="AA165" s="46"/>
      <c r="AB165" s="46"/>
      <c r="AC165" s="46"/>
      <c r="AD165" s="46"/>
      <c r="AE165" s="46"/>
      <c r="AF165" s="46"/>
    </row>
    <row r="166" spans="1:32" ht="12">
      <c r="A166" s="73"/>
      <c r="B166" s="86" t="s">
        <v>185</v>
      </c>
      <c r="C166" s="132">
        <f t="shared" ref="C166:C169" si="4">0.008/2.47105</f>
        <v>3.2374901357722428E-3</v>
      </c>
      <c r="D166" s="123">
        <f t="shared" si="3"/>
        <v>42.884880000000003</v>
      </c>
      <c r="E166" s="1603"/>
      <c r="F166" s="1603"/>
      <c r="G166" s="152"/>
      <c r="H166" s="152"/>
      <c r="I166" s="152"/>
      <c r="J166" s="152"/>
      <c r="K166" s="46"/>
      <c r="L166" s="46"/>
      <c r="M166" s="46"/>
      <c r="N166" s="46"/>
      <c r="O166" s="46"/>
      <c r="P166" s="46"/>
      <c r="Q166" s="46"/>
      <c r="R166" s="46"/>
      <c r="S166" s="46"/>
      <c r="T166" s="46"/>
      <c r="U166" s="46"/>
      <c r="V166" s="46"/>
      <c r="W166" s="46"/>
      <c r="X166" s="46"/>
      <c r="Y166" s="46"/>
      <c r="Z166" s="46"/>
      <c r="AA166" s="46"/>
      <c r="AB166" s="46"/>
      <c r="AC166" s="46"/>
      <c r="AD166" s="46"/>
      <c r="AE166" s="46"/>
      <c r="AF166" s="46"/>
    </row>
    <row r="167" spans="1:32" ht="12">
      <c r="A167" s="73"/>
      <c r="B167" s="86" t="s">
        <v>186</v>
      </c>
      <c r="C167" s="132">
        <f t="shared" si="4"/>
        <v>3.2374901357722428E-3</v>
      </c>
      <c r="D167" s="123">
        <f t="shared" si="3"/>
        <v>23.439040000000002</v>
      </c>
      <c r="E167" s="1603"/>
      <c r="F167" s="1603"/>
      <c r="G167" s="152"/>
      <c r="H167" s="152"/>
      <c r="I167" s="152"/>
      <c r="J167" s="152"/>
      <c r="K167" s="46"/>
      <c r="L167" s="46"/>
      <c r="M167" s="46"/>
      <c r="N167" s="46"/>
      <c r="O167" s="46"/>
      <c r="P167" s="46"/>
      <c r="Q167" s="46"/>
      <c r="R167" s="46"/>
      <c r="S167" s="46"/>
      <c r="T167" s="46"/>
      <c r="U167" s="46"/>
      <c r="V167" s="46"/>
      <c r="W167" s="46"/>
      <c r="X167" s="46"/>
      <c r="Y167" s="46"/>
      <c r="Z167" s="46"/>
      <c r="AA167" s="46"/>
      <c r="AB167" s="46"/>
      <c r="AC167" s="46"/>
      <c r="AD167" s="46"/>
      <c r="AE167" s="46"/>
      <c r="AF167" s="46"/>
    </row>
    <row r="168" spans="1:32" ht="12">
      <c r="A168" s="73"/>
      <c r="B168" s="86" t="s">
        <v>187</v>
      </c>
      <c r="C168" s="132">
        <f t="shared" si="4"/>
        <v>3.2374901357722428E-3</v>
      </c>
      <c r="D168" s="123">
        <f t="shared" si="3"/>
        <v>31.119440000000001</v>
      </c>
      <c r="E168" s="1603"/>
      <c r="F168" s="1603"/>
      <c r="G168" s="152"/>
      <c r="H168" s="152"/>
      <c r="I168" s="152"/>
      <c r="J168" s="152"/>
      <c r="K168" s="46"/>
      <c r="L168" s="46"/>
      <c r="M168" s="46"/>
      <c r="N168" s="46"/>
      <c r="O168" s="46"/>
      <c r="P168" s="46"/>
      <c r="Q168" s="46"/>
      <c r="R168" s="46"/>
      <c r="S168" s="46"/>
      <c r="T168" s="46"/>
      <c r="U168" s="46"/>
      <c r="V168" s="46"/>
      <c r="W168" s="46"/>
      <c r="X168" s="46"/>
      <c r="Y168" s="46"/>
      <c r="Z168" s="46"/>
      <c r="AA168" s="46"/>
      <c r="AB168" s="46"/>
      <c r="AC168" s="46"/>
      <c r="AD168" s="46"/>
      <c r="AE168" s="46"/>
      <c r="AF168" s="46"/>
    </row>
    <row r="169" spans="1:32" ht="12">
      <c r="A169" s="73"/>
      <c r="B169" s="127" t="s">
        <v>188</v>
      </c>
      <c r="C169" s="133">
        <f t="shared" si="4"/>
        <v>3.2374901357722428E-3</v>
      </c>
      <c r="D169" s="129">
        <f t="shared" si="3"/>
        <v>23.852880000000003</v>
      </c>
      <c r="E169" s="1603"/>
      <c r="F169" s="1603"/>
      <c r="G169" s="152"/>
      <c r="H169" s="152"/>
      <c r="I169" s="152"/>
      <c r="J169" s="152"/>
      <c r="K169" s="46"/>
      <c r="L169" s="46"/>
      <c r="M169" s="46"/>
      <c r="N169" s="46"/>
      <c r="O169" s="46"/>
      <c r="P169" s="46"/>
      <c r="Q169" s="46"/>
      <c r="R169" s="46"/>
      <c r="S169" s="46"/>
      <c r="T169" s="46"/>
      <c r="U169" s="46"/>
      <c r="V169" s="46"/>
      <c r="W169" s="46"/>
      <c r="X169" s="46"/>
      <c r="Y169" s="46"/>
      <c r="Z169" s="46"/>
      <c r="AA169" s="46"/>
      <c r="AB169" s="46"/>
      <c r="AC169" s="46"/>
      <c r="AD169" s="46"/>
      <c r="AE169" s="46"/>
      <c r="AF169" s="46"/>
    </row>
    <row r="170" spans="1:32" ht="12">
      <c r="A170" s="73"/>
      <c r="B170" s="86" t="s">
        <v>189</v>
      </c>
      <c r="C170" s="45"/>
      <c r="D170" s="130">
        <f>SUM(D164:D165)</f>
        <v>10911.843692815826</v>
      </c>
      <c r="E170" s="1603"/>
      <c r="F170" s="1603"/>
      <c r="G170" s="152"/>
      <c r="H170" s="152"/>
      <c r="I170" s="152"/>
      <c r="J170" s="152"/>
      <c r="K170" s="46"/>
      <c r="L170" s="46"/>
      <c r="M170" s="46"/>
      <c r="N170" s="46"/>
      <c r="O170" s="46"/>
      <c r="P170" s="46"/>
      <c r="Q170" s="46"/>
      <c r="R170" s="46"/>
      <c r="S170" s="46"/>
      <c r="T170" s="46"/>
      <c r="U170" s="46"/>
      <c r="V170" s="46"/>
      <c r="W170" s="46"/>
      <c r="X170" s="46"/>
      <c r="Y170" s="46"/>
      <c r="Z170" s="46"/>
      <c r="AA170" s="46"/>
      <c r="AB170" s="46"/>
      <c r="AC170" s="46"/>
      <c r="AD170" s="46"/>
      <c r="AE170" s="46"/>
      <c r="AF170" s="46"/>
    </row>
    <row r="171" spans="1:32" ht="12">
      <c r="A171" s="73"/>
      <c r="B171" s="86" t="s">
        <v>190</v>
      </c>
      <c r="C171" s="45"/>
      <c r="D171" s="123">
        <f>SUM(D166:D169)</f>
        <v>121.29624</v>
      </c>
      <c r="E171" s="1603"/>
      <c r="F171" s="1603"/>
      <c r="G171" s="152"/>
      <c r="H171" s="152"/>
      <c r="I171" s="152"/>
      <c r="J171" s="152"/>
      <c r="K171" s="46"/>
      <c r="L171" s="46"/>
      <c r="M171" s="46"/>
      <c r="N171" s="46"/>
      <c r="O171" s="46"/>
      <c r="P171" s="46"/>
      <c r="Q171" s="46"/>
      <c r="R171" s="46"/>
      <c r="S171" s="46"/>
      <c r="T171" s="46"/>
      <c r="U171" s="46"/>
      <c r="V171" s="46"/>
      <c r="W171" s="46"/>
      <c r="X171" s="46"/>
      <c r="Y171" s="46"/>
      <c r="Z171" s="46"/>
      <c r="AA171" s="46"/>
      <c r="AB171" s="46"/>
      <c r="AC171" s="46"/>
      <c r="AD171" s="46"/>
      <c r="AE171" s="46"/>
      <c r="AF171" s="46"/>
    </row>
    <row r="172" spans="1:32" ht="10.199999999999999">
      <c r="A172" s="46"/>
      <c r="B172" s="46"/>
      <c r="C172" s="46"/>
      <c r="D172" s="35"/>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row>
    <row r="173" spans="1:32" ht="36">
      <c r="A173" s="46"/>
      <c r="B173" s="35"/>
      <c r="C173" s="45"/>
      <c r="D173" s="124" t="s">
        <v>195</v>
      </c>
      <c r="E173" s="32"/>
      <c r="F173" s="32"/>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row>
    <row r="174" spans="1:32" ht="12">
      <c r="A174" s="73"/>
      <c r="B174" s="134" t="s">
        <v>196</v>
      </c>
      <c r="C174" s="45"/>
      <c r="D174" s="85">
        <v>2006</v>
      </c>
      <c r="E174" s="32"/>
      <c r="F174" s="32"/>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row>
    <row r="175" spans="1:32" ht="24">
      <c r="A175" s="73"/>
      <c r="B175" s="135" t="s">
        <v>197</v>
      </c>
      <c r="C175" s="45"/>
      <c r="D175" s="136">
        <f>0.017961122569791*1000000</f>
        <v>17961.122569790998</v>
      </c>
      <c r="E175" s="1604"/>
      <c r="F175" s="1604"/>
      <c r="G175" s="152"/>
      <c r="H175" s="152"/>
      <c r="I175" s="152"/>
      <c r="J175" s="152"/>
      <c r="K175" s="46"/>
      <c r="L175" s="46"/>
      <c r="M175" s="46"/>
      <c r="N175" s="46"/>
      <c r="O175" s="46"/>
      <c r="P175" s="46"/>
      <c r="Q175" s="46"/>
      <c r="R175" s="46"/>
      <c r="S175" s="46"/>
      <c r="T175" s="46"/>
      <c r="U175" s="46"/>
      <c r="V175" s="46"/>
      <c r="W175" s="46"/>
      <c r="X175" s="46"/>
      <c r="Y175" s="46"/>
      <c r="Z175" s="46"/>
      <c r="AA175" s="46"/>
      <c r="AB175" s="46"/>
      <c r="AC175" s="46"/>
      <c r="AD175" s="46"/>
      <c r="AE175" s="46"/>
      <c r="AF175" s="46"/>
    </row>
    <row r="176" spans="1:32" ht="12">
      <c r="A176" s="73"/>
      <c r="B176" s="86" t="s">
        <v>198</v>
      </c>
      <c r="C176" s="45"/>
      <c r="D176" s="137">
        <f>0.000443677622843492*1000000</f>
        <v>443.67762284349203</v>
      </c>
      <c r="E176" s="1605"/>
      <c r="F176" s="1605"/>
      <c r="G176" s="152"/>
      <c r="H176" s="152"/>
      <c r="I176" s="152"/>
      <c r="J176" s="152"/>
      <c r="K176" s="46"/>
      <c r="L176" s="46"/>
      <c r="M176" s="46"/>
      <c r="N176" s="46"/>
      <c r="O176" s="46"/>
      <c r="P176" s="46"/>
      <c r="Q176" s="46"/>
      <c r="R176" s="46"/>
      <c r="S176" s="46"/>
      <c r="T176" s="46"/>
      <c r="U176" s="46"/>
      <c r="V176" s="46"/>
      <c r="W176" s="46"/>
      <c r="X176" s="46"/>
      <c r="Y176" s="46"/>
      <c r="Z176" s="46"/>
      <c r="AA176" s="46"/>
      <c r="AB176" s="46"/>
      <c r="AC176" s="46"/>
      <c r="AD176" s="46"/>
      <c r="AE176" s="46"/>
      <c r="AF176" s="46"/>
    </row>
    <row r="177" spans="1:32" ht="12">
      <c r="A177" s="73"/>
      <c r="B177" s="86" t="s">
        <v>199</v>
      </c>
      <c r="C177" s="45"/>
      <c r="D177" s="137">
        <v>0</v>
      </c>
      <c r="E177" s="1605"/>
      <c r="F177" s="1605"/>
      <c r="G177" s="152"/>
      <c r="H177" s="152"/>
      <c r="I177" s="152"/>
      <c r="J177" s="152"/>
      <c r="K177" s="46"/>
      <c r="L177" s="46"/>
      <c r="M177" s="46"/>
      <c r="N177" s="46"/>
      <c r="O177" s="46"/>
      <c r="P177" s="46"/>
      <c r="Q177" s="46"/>
      <c r="R177" s="46"/>
      <c r="S177" s="46"/>
      <c r="T177" s="46"/>
      <c r="U177" s="46"/>
      <c r="V177" s="46"/>
      <c r="W177" s="46"/>
      <c r="X177" s="46"/>
      <c r="Y177" s="46"/>
      <c r="Z177" s="46"/>
      <c r="AA177" s="46"/>
      <c r="AB177" s="46"/>
      <c r="AC177" s="46"/>
      <c r="AD177" s="46"/>
      <c r="AE177" s="46"/>
      <c r="AF177" s="46"/>
    </row>
    <row r="178" spans="1:32" ht="12">
      <c r="A178" s="73"/>
      <c r="B178" s="86" t="s">
        <v>200</v>
      </c>
      <c r="C178" s="45"/>
      <c r="D178" s="137">
        <f>0.0175174449469475*1000000</f>
        <v>17517.4449469475</v>
      </c>
      <c r="E178" s="1605"/>
      <c r="F178" s="1605"/>
      <c r="G178" s="152"/>
      <c r="H178" s="152"/>
      <c r="I178" s="152"/>
      <c r="J178" s="152"/>
      <c r="K178" s="46"/>
      <c r="L178" s="46"/>
      <c r="M178" s="46"/>
      <c r="N178" s="46"/>
      <c r="O178" s="46"/>
      <c r="P178" s="46"/>
      <c r="Q178" s="46"/>
      <c r="R178" s="46"/>
      <c r="S178" s="46"/>
      <c r="T178" s="46"/>
      <c r="U178" s="46"/>
      <c r="V178" s="46"/>
      <c r="W178" s="46"/>
      <c r="X178" s="46"/>
      <c r="Y178" s="46"/>
      <c r="Z178" s="46"/>
      <c r="AA178" s="46"/>
      <c r="AB178" s="46"/>
      <c r="AC178" s="46"/>
      <c r="AD178" s="46"/>
      <c r="AE178" s="46"/>
      <c r="AF178" s="46"/>
    </row>
    <row r="179" spans="1:32" ht="24">
      <c r="A179" s="73"/>
      <c r="B179" s="135" t="s">
        <v>201</v>
      </c>
      <c r="C179" s="45"/>
      <c r="D179" s="138">
        <f>-0.00623927632943711*1000000</f>
        <v>-6239.2763294371098</v>
      </c>
      <c r="E179" s="1606"/>
      <c r="F179" s="1606"/>
      <c r="G179" s="1607"/>
      <c r="H179" s="1607"/>
      <c r="I179" s="1607"/>
      <c r="J179" s="1607"/>
      <c r="K179" s="46"/>
      <c r="L179" s="46"/>
      <c r="M179" s="46"/>
      <c r="N179" s="46"/>
      <c r="O179" s="46"/>
      <c r="P179" s="46"/>
      <c r="Q179" s="46"/>
      <c r="R179" s="46"/>
      <c r="S179" s="46"/>
      <c r="T179" s="46"/>
      <c r="U179" s="46"/>
      <c r="V179" s="46"/>
      <c r="W179" s="46"/>
      <c r="X179" s="46"/>
      <c r="Y179" s="46"/>
      <c r="Z179" s="46"/>
      <c r="AA179" s="46"/>
      <c r="AB179" s="46"/>
      <c r="AC179" s="46"/>
      <c r="AD179" s="46"/>
      <c r="AE179" s="46"/>
      <c r="AF179" s="46"/>
    </row>
    <row r="180" spans="1:32" ht="12">
      <c r="A180" s="73"/>
      <c r="B180" s="86" t="s">
        <v>198</v>
      </c>
      <c r="C180" s="45"/>
      <c r="D180" s="139">
        <v>-5.8802495598014046E-3</v>
      </c>
      <c r="E180" s="1608"/>
      <c r="F180" s="1608"/>
      <c r="G180" s="1607"/>
      <c r="H180" s="1607"/>
      <c r="I180" s="1607"/>
      <c r="J180" s="1607"/>
      <c r="K180" s="46"/>
      <c r="L180" s="46"/>
      <c r="M180" s="46"/>
      <c r="N180" s="46"/>
      <c r="O180" s="46"/>
      <c r="P180" s="46"/>
      <c r="Q180" s="46"/>
      <c r="R180" s="46"/>
      <c r="S180" s="46"/>
      <c r="T180" s="46"/>
      <c r="U180" s="46"/>
      <c r="V180" s="46"/>
      <c r="W180" s="46"/>
      <c r="X180" s="46"/>
      <c r="Y180" s="46"/>
      <c r="Z180" s="46"/>
      <c r="AA180" s="46"/>
      <c r="AB180" s="46"/>
      <c r="AC180" s="46"/>
      <c r="AD180" s="46"/>
      <c r="AE180" s="46"/>
      <c r="AF180" s="46"/>
    </row>
    <row r="181" spans="1:32" ht="12">
      <c r="A181" s="73"/>
      <c r="B181" s="86" t="s">
        <v>199</v>
      </c>
      <c r="C181" s="45"/>
      <c r="D181" s="139">
        <v>0</v>
      </c>
      <c r="E181" s="1608"/>
      <c r="F181" s="1608"/>
      <c r="G181" s="1607"/>
      <c r="H181" s="1607"/>
      <c r="I181" s="1607"/>
      <c r="J181" s="1607"/>
      <c r="K181" s="46"/>
      <c r="L181" s="46"/>
      <c r="M181" s="46"/>
      <c r="N181" s="46"/>
      <c r="O181" s="46"/>
      <c r="P181" s="46"/>
      <c r="Q181" s="46"/>
      <c r="R181" s="46"/>
      <c r="S181" s="46"/>
      <c r="T181" s="46"/>
      <c r="U181" s="46"/>
      <c r="V181" s="46"/>
      <c r="W181" s="46"/>
      <c r="X181" s="46"/>
      <c r="Y181" s="46"/>
      <c r="Z181" s="46"/>
      <c r="AA181" s="46"/>
      <c r="AB181" s="46"/>
      <c r="AC181" s="46"/>
      <c r="AD181" s="46"/>
      <c r="AE181" s="46"/>
      <c r="AF181" s="46"/>
    </row>
    <row r="182" spans="1:32" ht="12">
      <c r="A182" s="73"/>
      <c r="B182" s="127" t="s">
        <v>200</v>
      </c>
      <c r="C182" s="140"/>
      <c r="D182" s="139">
        <f>-0.000359026769635702*1000000</f>
        <v>-359.02676963570201</v>
      </c>
      <c r="E182" s="1608"/>
      <c r="F182" s="1608"/>
      <c r="G182" s="1607"/>
      <c r="H182" s="1607"/>
      <c r="I182" s="1607"/>
      <c r="J182" s="1607"/>
      <c r="K182" s="46"/>
      <c r="L182" s="46"/>
      <c r="M182" s="46"/>
      <c r="N182" s="46"/>
      <c r="O182" s="46"/>
      <c r="P182" s="46"/>
      <c r="Q182" s="46"/>
      <c r="R182" s="46"/>
      <c r="S182" s="46"/>
      <c r="T182" s="46"/>
      <c r="U182" s="46"/>
      <c r="V182" s="46"/>
      <c r="W182" s="46"/>
      <c r="X182" s="46"/>
      <c r="Y182" s="46"/>
      <c r="Z182" s="46"/>
      <c r="AA182" s="46"/>
      <c r="AB182" s="46"/>
      <c r="AC182" s="46"/>
      <c r="AD182" s="46"/>
      <c r="AE182" s="46"/>
      <c r="AF182" s="46"/>
    </row>
    <row r="183" spans="1:32" ht="12">
      <c r="A183" s="73"/>
      <c r="B183" s="127" t="s">
        <v>202</v>
      </c>
      <c r="C183" s="140"/>
      <c r="D183" s="123">
        <f>D179+D175</f>
        <v>11721.846240353887</v>
      </c>
      <c r="E183" s="1603"/>
      <c r="F183" s="1603"/>
      <c r="G183" s="152"/>
      <c r="H183" s="152"/>
      <c r="I183" s="152"/>
      <c r="J183" s="152"/>
      <c r="K183" s="46"/>
      <c r="L183" s="46"/>
      <c r="M183" s="46"/>
      <c r="N183" s="46"/>
      <c r="O183" s="46"/>
      <c r="P183" s="46"/>
      <c r="Q183" s="46"/>
      <c r="R183" s="46"/>
      <c r="S183" s="46"/>
      <c r="T183" s="46"/>
      <c r="U183" s="46"/>
      <c r="V183" s="46"/>
      <c r="W183" s="46"/>
      <c r="X183" s="46"/>
      <c r="Y183" s="46"/>
      <c r="Z183" s="46"/>
      <c r="AA183" s="46"/>
      <c r="AB183" s="46"/>
      <c r="AC183" s="46"/>
      <c r="AD183" s="46"/>
      <c r="AE183" s="46"/>
      <c r="AF183" s="46"/>
    </row>
    <row r="184" spans="1:32" ht="10.199999999999999">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row>
    <row r="185" spans="1:32" ht="10.199999999999999">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row>
    <row r="186" spans="1:32" ht="14.4">
      <c r="A186" s="46"/>
      <c r="B186" s="79" t="s">
        <v>203</v>
      </c>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row>
    <row r="187" spans="1:32" ht="10.199999999999999">
      <c r="A187" s="46"/>
      <c r="B187" s="46"/>
      <c r="C187" s="141"/>
      <c r="D187" s="141"/>
      <c r="E187" s="141"/>
      <c r="F187" s="141"/>
      <c r="G187" s="141"/>
      <c r="H187" s="141"/>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row>
    <row r="188" spans="1:32" ht="36">
      <c r="A188" s="46"/>
      <c r="B188" s="142"/>
      <c r="C188" s="1765" t="s">
        <v>204</v>
      </c>
      <c r="D188" s="1762"/>
      <c r="E188" s="1762"/>
      <c r="F188" s="1709"/>
      <c r="G188" s="143" t="s">
        <v>205</v>
      </c>
      <c r="H188" s="144" t="s">
        <v>206</v>
      </c>
      <c r="I188" s="1609"/>
      <c r="J188" s="32"/>
      <c r="K188" s="46"/>
      <c r="L188" s="46"/>
      <c r="M188" s="46"/>
      <c r="N188" s="46"/>
      <c r="O188" s="46"/>
      <c r="P188" s="46"/>
      <c r="Q188" s="46"/>
      <c r="R188" s="46"/>
      <c r="S188" s="46"/>
      <c r="T188" s="46"/>
      <c r="U188" s="46"/>
      <c r="V188" s="46"/>
      <c r="W188" s="46"/>
      <c r="X188" s="46"/>
      <c r="Y188" s="46"/>
      <c r="Z188" s="46"/>
      <c r="AA188" s="46"/>
      <c r="AB188" s="46"/>
      <c r="AC188" s="46"/>
      <c r="AD188" s="46"/>
      <c r="AE188" s="46"/>
      <c r="AF188" s="46"/>
    </row>
    <row r="189" spans="1:32" ht="12">
      <c r="A189" s="73"/>
      <c r="B189" s="145" t="s">
        <v>207</v>
      </c>
      <c r="C189" s="125" t="s">
        <v>208</v>
      </c>
      <c r="D189" s="125" t="s">
        <v>209</v>
      </c>
      <c r="E189" s="125" t="s">
        <v>210</v>
      </c>
      <c r="F189" s="146" t="s">
        <v>211</v>
      </c>
      <c r="G189" s="147">
        <v>2006</v>
      </c>
      <c r="H189" s="147">
        <v>2006</v>
      </c>
      <c r="I189" s="1609"/>
      <c r="J189" s="32"/>
      <c r="K189" s="46"/>
      <c r="L189" s="46"/>
      <c r="M189" s="46"/>
      <c r="N189" s="46"/>
      <c r="O189" s="46"/>
      <c r="P189" s="46"/>
      <c r="Q189" s="46"/>
      <c r="R189" s="46"/>
      <c r="S189" s="46"/>
      <c r="T189" s="46"/>
      <c r="U189" s="46"/>
      <c r="V189" s="46"/>
      <c r="W189" s="46"/>
      <c r="X189" s="46"/>
      <c r="Y189" s="46"/>
      <c r="Z189" s="46"/>
      <c r="AA189" s="46"/>
      <c r="AB189" s="46"/>
      <c r="AC189" s="46"/>
      <c r="AD189" s="46"/>
      <c r="AE189" s="46"/>
      <c r="AF189" s="46"/>
    </row>
    <row r="190" spans="1:32" ht="12">
      <c r="A190" s="73"/>
      <c r="B190" s="148" t="s">
        <v>212</v>
      </c>
      <c r="C190" s="86" t="s">
        <v>213</v>
      </c>
      <c r="D190" s="149">
        <v>54</v>
      </c>
      <c r="E190" s="45"/>
      <c r="F190" s="150"/>
      <c r="G190" s="151">
        <v>2135.3404</v>
      </c>
      <c r="H190" s="151">
        <f t="shared" ref="H190:H193" si="5">G190*$D190/1000</f>
        <v>115.3083816</v>
      </c>
      <c r="I190" s="1609"/>
      <c r="J190" s="1603"/>
      <c r="K190" s="46"/>
      <c r="L190" s="152"/>
      <c r="M190" s="46"/>
      <c r="N190" s="152"/>
      <c r="O190" s="46"/>
      <c r="P190" s="152"/>
      <c r="Q190" s="152"/>
      <c r="R190" s="152"/>
      <c r="S190" s="152"/>
      <c r="T190" s="46"/>
      <c r="U190" s="46"/>
      <c r="V190" s="46"/>
      <c r="W190" s="46"/>
      <c r="X190" s="46"/>
      <c r="Y190" s="46"/>
      <c r="Z190" s="46"/>
      <c r="AA190" s="46"/>
      <c r="AB190" s="46"/>
      <c r="AC190" s="46"/>
      <c r="AD190" s="46"/>
      <c r="AE190" s="46"/>
      <c r="AF190" s="46"/>
    </row>
    <row r="191" spans="1:32" ht="12">
      <c r="A191" s="73"/>
      <c r="B191" s="148" t="s">
        <v>212</v>
      </c>
      <c r="C191" s="86" t="s">
        <v>214</v>
      </c>
      <c r="D191" s="149">
        <v>80.3</v>
      </c>
      <c r="E191" s="45"/>
      <c r="F191" s="150"/>
      <c r="G191" s="151">
        <v>5990.6760039999999</v>
      </c>
      <c r="H191" s="151">
        <f t="shared" si="5"/>
        <v>481.05128312120002</v>
      </c>
      <c r="I191" s="1609"/>
      <c r="J191" s="1603"/>
      <c r="K191" s="46"/>
      <c r="L191" s="152"/>
      <c r="M191" s="46"/>
      <c r="N191" s="152"/>
      <c r="O191" s="46"/>
      <c r="P191" s="152"/>
      <c r="Q191" s="152"/>
      <c r="R191" s="152"/>
      <c r="S191" s="152"/>
      <c r="T191" s="46"/>
      <c r="U191" s="46"/>
      <c r="V191" s="46"/>
      <c r="W191" s="46"/>
      <c r="X191" s="46"/>
      <c r="Y191" s="46"/>
      <c r="Z191" s="46"/>
      <c r="AA191" s="46"/>
      <c r="AB191" s="46"/>
      <c r="AC191" s="46"/>
      <c r="AD191" s="46"/>
      <c r="AE191" s="46"/>
      <c r="AF191" s="46"/>
    </row>
    <row r="192" spans="1:32" ht="12">
      <c r="A192" s="73"/>
      <c r="B192" s="148" t="s">
        <v>215</v>
      </c>
      <c r="C192" s="86" t="s">
        <v>213</v>
      </c>
      <c r="D192" s="149">
        <v>84.7</v>
      </c>
      <c r="E192" s="149">
        <v>1.02</v>
      </c>
      <c r="F192" s="153">
        <f t="shared" ref="F192:F193" si="6">E192*44/12</f>
        <v>3.74</v>
      </c>
      <c r="G192" s="151">
        <v>9.4989216869999993</v>
      </c>
      <c r="H192" s="151">
        <f t="shared" si="5"/>
        <v>0.80455866688889999</v>
      </c>
      <c r="I192" s="1609"/>
      <c r="J192" s="1603"/>
      <c r="K192" s="46"/>
      <c r="L192" s="152"/>
      <c r="M192" s="46"/>
      <c r="N192" s="152"/>
      <c r="O192" s="46"/>
      <c r="P192" s="152"/>
      <c r="Q192" s="152"/>
      <c r="R192" s="152"/>
      <c r="S192" s="152"/>
      <c r="T192" s="46"/>
      <c r="U192" s="46"/>
      <c r="V192" s="46"/>
      <c r="W192" s="46"/>
      <c r="X192" s="46"/>
      <c r="Y192" s="46"/>
      <c r="Z192" s="46"/>
      <c r="AA192" s="46"/>
      <c r="AB192" s="46"/>
      <c r="AC192" s="46"/>
      <c r="AD192" s="46"/>
      <c r="AE192" s="46"/>
      <c r="AF192" s="46"/>
    </row>
    <row r="193" spans="1:32" ht="12">
      <c r="A193" s="73"/>
      <c r="B193" s="148" t="s">
        <v>215</v>
      </c>
      <c r="C193" s="86" t="s">
        <v>214</v>
      </c>
      <c r="D193" s="149">
        <v>127.5</v>
      </c>
      <c r="E193" s="149">
        <v>1.46</v>
      </c>
      <c r="F193" s="153">
        <f t="shared" si="6"/>
        <v>5.3533333333333326</v>
      </c>
      <c r="G193" s="151">
        <v>0</v>
      </c>
      <c r="H193" s="151">
        <f t="shared" si="5"/>
        <v>0</v>
      </c>
      <c r="I193" s="1609"/>
      <c r="J193" s="1603"/>
      <c r="K193" s="46"/>
      <c r="L193" s="152"/>
      <c r="M193" s="46"/>
      <c r="N193" s="152"/>
      <c r="O193" s="46"/>
      <c r="P193" s="152"/>
      <c r="Q193" s="152"/>
      <c r="R193" s="152"/>
      <c r="S193" s="152"/>
      <c r="T193" s="46"/>
      <c r="U193" s="46"/>
      <c r="V193" s="46"/>
      <c r="W193" s="46"/>
      <c r="X193" s="46"/>
      <c r="Y193" s="46"/>
      <c r="Z193" s="46"/>
      <c r="AA193" s="46"/>
      <c r="AB193" s="46"/>
      <c r="AC193" s="46"/>
      <c r="AD193" s="46"/>
      <c r="AE193" s="46"/>
      <c r="AF193" s="46"/>
    </row>
    <row r="194" spans="1:32" ht="12">
      <c r="A194" s="73"/>
      <c r="B194" s="148" t="s">
        <v>216</v>
      </c>
      <c r="C194" s="86" t="s">
        <v>217</v>
      </c>
      <c r="D194" s="154">
        <v>0.09</v>
      </c>
      <c r="E194" s="45"/>
      <c r="F194" s="150"/>
      <c r="G194" s="142"/>
      <c r="H194" s="151">
        <f>SUM(H190:H193)*$D194</f>
        <v>53.744780104927997</v>
      </c>
      <c r="I194" s="1609"/>
      <c r="J194" s="1603"/>
      <c r="K194" s="46"/>
      <c r="L194" s="152"/>
      <c r="M194" s="46"/>
      <c r="N194" s="152"/>
      <c r="O194" s="46"/>
      <c r="P194" s="152"/>
      <c r="Q194" s="152"/>
      <c r="R194" s="152"/>
      <c r="S194" s="152"/>
      <c r="T194" s="46"/>
      <c r="U194" s="46"/>
      <c r="V194" s="46"/>
      <c r="W194" s="46"/>
      <c r="X194" s="46"/>
      <c r="Y194" s="46"/>
      <c r="Z194" s="46"/>
      <c r="AA194" s="46"/>
      <c r="AB194" s="46"/>
      <c r="AC194" s="46"/>
      <c r="AD194" s="46"/>
      <c r="AE194" s="46"/>
      <c r="AF194" s="46"/>
    </row>
    <row r="195" spans="1:32" ht="12">
      <c r="A195" s="73"/>
      <c r="B195" s="148" t="s">
        <v>218</v>
      </c>
      <c r="C195" s="86" t="s">
        <v>217</v>
      </c>
      <c r="D195" s="149">
        <v>183</v>
      </c>
      <c r="E195" s="45"/>
      <c r="F195" s="150"/>
      <c r="G195" s="151">
        <v>378.54672799999997</v>
      </c>
      <c r="H195" s="151">
        <f t="shared" ref="H195:H198" si="7">G195*$D195/1000</f>
        <v>69.27405122399999</v>
      </c>
      <c r="I195" s="1609"/>
      <c r="J195" s="1603"/>
      <c r="K195" s="46"/>
      <c r="L195" s="152"/>
      <c r="M195" s="46"/>
      <c r="N195" s="152"/>
      <c r="O195" s="46"/>
      <c r="P195" s="152"/>
      <c r="Q195" s="152"/>
      <c r="R195" s="152"/>
      <c r="S195" s="152"/>
      <c r="T195" s="46"/>
      <c r="U195" s="46"/>
      <c r="V195" s="46"/>
      <c r="W195" s="46"/>
      <c r="X195" s="46"/>
      <c r="Y195" s="46"/>
      <c r="Z195" s="46"/>
      <c r="AA195" s="46"/>
      <c r="AB195" s="46"/>
      <c r="AC195" s="46"/>
      <c r="AD195" s="46"/>
      <c r="AE195" s="46"/>
      <c r="AF195" s="46"/>
    </row>
    <row r="196" spans="1:32" ht="12">
      <c r="A196" s="73"/>
      <c r="B196" s="148" t="s">
        <v>219</v>
      </c>
      <c r="C196" s="86" t="s">
        <v>213</v>
      </c>
      <c r="D196" s="149">
        <v>183</v>
      </c>
      <c r="E196" s="149">
        <v>1.02</v>
      </c>
      <c r="F196" s="153">
        <f t="shared" ref="F196:F197" si="8">E196*44/12</f>
        <v>3.74</v>
      </c>
      <c r="G196" s="151">
        <v>0</v>
      </c>
      <c r="H196" s="151">
        <f t="shared" si="7"/>
        <v>0</v>
      </c>
      <c r="I196" s="1609"/>
      <c r="J196" s="1603"/>
      <c r="K196" s="46"/>
      <c r="L196" s="152"/>
      <c r="M196" s="46"/>
      <c r="N196" s="152"/>
      <c r="O196" s="46"/>
      <c r="P196" s="152"/>
      <c r="Q196" s="152"/>
      <c r="R196" s="152"/>
      <c r="S196" s="152"/>
      <c r="T196" s="46"/>
      <c r="U196" s="46"/>
      <c r="V196" s="46"/>
      <c r="W196" s="46"/>
      <c r="X196" s="46"/>
      <c r="Y196" s="46"/>
      <c r="Z196" s="46"/>
      <c r="AA196" s="46"/>
      <c r="AB196" s="46"/>
      <c r="AC196" s="46"/>
      <c r="AD196" s="46"/>
      <c r="AE196" s="46"/>
      <c r="AF196" s="46"/>
    </row>
    <row r="197" spans="1:32" ht="12">
      <c r="A197" s="73"/>
      <c r="B197" s="148" t="s">
        <v>219</v>
      </c>
      <c r="C197" s="86" t="s">
        <v>214</v>
      </c>
      <c r="D197" s="149">
        <v>183</v>
      </c>
      <c r="E197" s="149">
        <v>1.46</v>
      </c>
      <c r="F197" s="153">
        <f t="shared" si="8"/>
        <v>5.3533333333333326</v>
      </c>
      <c r="G197" s="151">
        <v>6.1635079480000003</v>
      </c>
      <c r="H197" s="151">
        <f t="shared" si="7"/>
        <v>1.127921954484</v>
      </c>
      <c r="I197" s="1609"/>
      <c r="J197" s="1603"/>
      <c r="K197" s="46"/>
      <c r="L197" s="152"/>
      <c r="M197" s="46"/>
      <c r="N197" s="152"/>
      <c r="O197" s="46"/>
      <c r="P197" s="152"/>
      <c r="Q197" s="152"/>
      <c r="R197" s="152"/>
      <c r="S197" s="152"/>
      <c r="T197" s="46"/>
      <c r="U197" s="46"/>
      <c r="V197" s="46"/>
      <c r="W197" s="46"/>
      <c r="X197" s="46"/>
      <c r="Y197" s="46"/>
      <c r="Z197" s="46"/>
      <c r="AA197" s="46"/>
      <c r="AB197" s="46"/>
      <c r="AC197" s="46"/>
      <c r="AD197" s="46"/>
      <c r="AE197" s="46"/>
      <c r="AF197" s="46"/>
    </row>
    <row r="198" spans="1:32" ht="12">
      <c r="A198" s="73"/>
      <c r="B198" s="148" t="s">
        <v>220</v>
      </c>
      <c r="C198" s="127" t="s">
        <v>217</v>
      </c>
      <c r="D198" s="6">
        <v>416</v>
      </c>
      <c r="E198" s="140"/>
      <c r="F198" s="155"/>
      <c r="G198" s="156">
        <v>230.3975188</v>
      </c>
      <c r="H198" s="156">
        <f t="shared" si="7"/>
        <v>95.845367820800007</v>
      </c>
      <c r="I198" s="1609"/>
      <c r="J198" s="1603"/>
      <c r="K198" s="46"/>
      <c r="L198" s="152"/>
      <c r="M198" s="46"/>
      <c r="N198" s="152"/>
      <c r="O198" s="46"/>
      <c r="P198" s="152"/>
      <c r="Q198" s="152"/>
      <c r="R198" s="152"/>
      <c r="S198" s="152"/>
      <c r="T198" s="46"/>
      <c r="U198" s="46"/>
      <c r="V198" s="46"/>
      <c r="W198" s="46"/>
      <c r="X198" s="46"/>
      <c r="Y198" s="46"/>
      <c r="Z198" s="46"/>
      <c r="AA198" s="46"/>
      <c r="AB198" s="46"/>
      <c r="AC198" s="46"/>
      <c r="AD198" s="46"/>
      <c r="AE198" s="46"/>
      <c r="AF198" s="46"/>
    </row>
    <row r="199" spans="1:32" ht="10.199999999999999">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row>
    <row r="200" spans="1:32" ht="10.199999999999999">
      <c r="A200" s="46"/>
      <c r="B200" s="46"/>
      <c r="C200" s="141"/>
      <c r="D200" s="141"/>
      <c r="E200" s="141"/>
      <c r="F200" s="141"/>
      <c r="G200" s="141"/>
      <c r="H200" s="141"/>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row>
    <row r="201" spans="1:32" ht="36">
      <c r="A201" s="46"/>
      <c r="B201" s="142"/>
      <c r="C201" s="1765" t="s">
        <v>204</v>
      </c>
      <c r="D201" s="1762"/>
      <c r="E201" s="1762"/>
      <c r="F201" s="1709"/>
      <c r="G201" s="143" t="s">
        <v>205</v>
      </c>
      <c r="H201" s="157" t="s">
        <v>221</v>
      </c>
      <c r="I201" s="1609"/>
      <c r="J201" s="32"/>
      <c r="K201" s="46"/>
      <c r="L201" s="46"/>
      <c r="M201" s="46"/>
      <c r="N201" s="46"/>
      <c r="O201" s="46"/>
      <c r="P201" s="46"/>
      <c r="Q201" s="46"/>
      <c r="R201" s="46"/>
      <c r="S201" s="46"/>
      <c r="T201" s="46"/>
      <c r="U201" s="46"/>
      <c r="V201" s="46"/>
      <c r="W201" s="46"/>
      <c r="X201" s="46"/>
      <c r="Y201" s="46"/>
      <c r="Z201" s="46"/>
      <c r="AA201" s="46"/>
      <c r="AB201" s="46"/>
      <c r="AC201" s="46"/>
      <c r="AD201" s="46"/>
      <c r="AE201" s="46"/>
      <c r="AF201" s="46"/>
    </row>
    <row r="202" spans="1:32" ht="12">
      <c r="A202" s="73"/>
      <c r="B202" s="145" t="s">
        <v>207</v>
      </c>
      <c r="C202" s="125" t="s">
        <v>208</v>
      </c>
      <c r="D202" s="125" t="s">
        <v>209</v>
      </c>
      <c r="E202" s="125" t="s">
        <v>210</v>
      </c>
      <c r="F202" s="146" t="s">
        <v>211</v>
      </c>
      <c r="G202" s="158">
        <v>2006</v>
      </c>
      <c r="H202" s="158">
        <v>2006</v>
      </c>
      <c r="I202" s="1609"/>
      <c r="J202" s="32"/>
      <c r="K202" s="46"/>
      <c r="L202" s="46"/>
      <c r="M202" s="46"/>
      <c r="N202" s="46"/>
      <c r="O202" s="46"/>
      <c r="P202" s="46"/>
      <c r="Q202" s="46"/>
      <c r="R202" s="46"/>
      <c r="S202" s="46"/>
      <c r="T202" s="46"/>
      <c r="U202" s="46"/>
      <c r="V202" s="46"/>
      <c r="W202" s="46"/>
      <c r="X202" s="46"/>
      <c r="Y202" s="46"/>
      <c r="Z202" s="46"/>
      <c r="AA202" s="46"/>
      <c r="AB202" s="46"/>
      <c r="AC202" s="46"/>
      <c r="AD202" s="46"/>
      <c r="AE202" s="46"/>
      <c r="AF202" s="46"/>
    </row>
    <row r="203" spans="1:32" ht="12">
      <c r="A203" s="73"/>
      <c r="B203" s="148" t="s">
        <v>212</v>
      </c>
      <c r="C203" s="86" t="s">
        <v>213</v>
      </c>
      <c r="D203" s="149">
        <v>54</v>
      </c>
      <c r="E203" s="45"/>
      <c r="F203" s="150"/>
      <c r="G203" s="151">
        <v>2135.3404</v>
      </c>
      <c r="H203" s="151">
        <f t="shared" ref="H203:H206" si="9">G203*$F203</f>
        <v>0</v>
      </c>
      <c r="I203" s="1609"/>
      <c r="J203" s="1603"/>
      <c r="K203" s="46"/>
      <c r="L203" s="152"/>
      <c r="M203" s="46"/>
      <c r="N203" s="152"/>
      <c r="O203" s="46"/>
      <c r="P203" s="152"/>
      <c r="Q203" s="46"/>
      <c r="R203" s="46"/>
      <c r="S203" s="46"/>
      <c r="T203" s="46"/>
      <c r="U203" s="46"/>
      <c r="V203" s="46"/>
      <c r="W203" s="46"/>
      <c r="X203" s="46"/>
      <c r="Y203" s="46"/>
      <c r="Z203" s="46"/>
      <c r="AA203" s="46"/>
      <c r="AB203" s="46"/>
      <c r="AC203" s="46"/>
      <c r="AD203" s="46"/>
      <c r="AE203" s="46"/>
      <c r="AF203" s="46"/>
    </row>
    <row r="204" spans="1:32" ht="12">
      <c r="A204" s="73"/>
      <c r="B204" s="148" t="s">
        <v>212</v>
      </c>
      <c r="C204" s="86" t="s">
        <v>214</v>
      </c>
      <c r="D204" s="149">
        <v>80.3</v>
      </c>
      <c r="E204" s="45"/>
      <c r="F204" s="150"/>
      <c r="G204" s="151">
        <v>5990.6760039999999</v>
      </c>
      <c r="H204" s="151">
        <f t="shared" si="9"/>
        <v>0</v>
      </c>
      <c r="I204" s="1609"/>
      <c r="J204" s="1603"/>
      <c r="K204" s="46"/>
      <c r="L204" s="152"/>
      <c r="M204" s="46"/>
      <c r="N204" s="152"/>
      <c r="O204" s="46"/>
      <c r="P204" s="152"/>
      <c r="Q204" s="46"/>
      <c r="R204" s="46"/>
      <c r="S204" s="46"/>
      <c r="T204" s="46"/>
      <c r="U204" s="46"/>
      <c r="V204" s="46"/>
      <c r="W204" s="46"/>
      <c r="X204" s="46"/>
      <c r="Y204" s="46"/>
      <c r="Z204" s="46"/>
      <c r="AA204" s="46"/>
      <c r="AB204" s="46"/>
      <c r="AC204" s="46"/>
      <c r="AD204" s="46"/>
      <c r="AE204" s="46"/>
      <c r="AF204" s="46"/>
    </row>
    <row r="205" spans="1:32" ht="12">
      <c r="A205" s="73"/>
      <c r="B205" s="148" t="s">
        <v>215</v>
      </c>
      <c r="C205" s="86" t="s">
        <v>213</v>
      </c>
      <c r="D205" s="149">
        <v>84.7</v>
      </c>
      <c r="E205" s="149">
        <v>1.02</v>
      </c>
      <c r="F205" s="153">
        <f t="shared" ref="F205:F206" si="10">E205*44/12</f>
        <v>3.74</v>
      </c>
      <c r="G205" s="151">
        <v>9.4989216869999993</v>
      </c>
      <c r="H205" s="151">
        <f t="shared" si="9"/>
        <v>35.525967109379998</v>
      </c>
      <c r="I205" s="1609"/>
      <c r="J205" s="1603"/>
      <c r="K205" s="46"/>
      <c r="L205" s="152"/>
      <c r="M205" s="46"/>
      <c r="N205" s="152"/>
      <c r="O205" s="46"/>
      <c r="P205" s="152"/>
      <c r="Q205" s="46"/>
      <c r="R205" s="46"/>
      <c r="S205" s="46"/>
      <c r="T205" s="46"/>
      <c r="U205" s="46"/>
      <c r="V205" s="46"/>
      <c r="W205" s="46"/>
      <c r="X205" s="46"/>
      <c r="Y205" s="46"/>
      <c r="Z205" s="46"/>
      <c r="AA205" s="46"/>
      <c r="AB205" s="46"/>
      <c r="AC205" s="46"/>
      <c r="AD205" s="46"/>
      <c r="AE205" s="46"/>
      <c r="AF205" s="46"/>
    </row>
    <row r="206" spans="1:32" ht="12">
      <c r="A206" s="73"/>
      <c r="B206" s="148" t="s">
        <v>215</v>
      </c>
      <c r="C206" s="86" t="s">
        <v>214</v>
      </c>
      <c r="D206" s="149">
        <v>127.5</v>
      </c>
      <c r="E206" s="149">
        <v>1.46</v>
      </c>
      <c r="F206" s="153">
        <f t="shared" si="10"/>
        <v>5.3533333333333326</v>
      </c>
      <c r="G206" s="151">
        <v>0</v>
      </c>
      <c r="H206" s="151">
        <f t="shared" si="9"/>
        <v>0</v>
      </c>
      <c r="I206" s="1609"/>
      <c r="J206" s="1603"/>
      <c r="K206" s="46"/>
      <c r="L206" s="152"/>
      <c r="M206" s="46"/>
      <c r="N206" s="152"/>
      <c r="O206" s="46"/>
      <c r="P206" s="152"/>
      <c r="Q206" s="46"/>
      <c r="R206" s="46"/>
      <c r="S206" s="46"/>
      <c r="T206" s="46"/>
      <c r="U206" s="46"/>
      <c r="V206" s="46"/>
      <c r="W206" s="46"/>
      <c r="X206" s="46"/>
      <c r="Y206" s="46"/>
      <c r="Z206" s="46"/>
      <c r="AA206" s="46"/>
      <c r="AB206" s="46"/>
      <c r="AC206" s="46"/>
      <c r="AD206" s="46"/>
      <c r="AE206" s="46"/>
      <c r="AF206" s="46"/>
    </row>
    <row r="207" spans="1:32" ht="12">
      <c r="A207" s="73"/>
      <c r="B207" s="148" t="s">
        <v>216</v>
      </c>
      <c r="C207" s="86" t="s">
        <v>217</v>
      </c>
      <c r="D207" s="154">
        <v>0.09</v>
      </c>
      <c r="E207" s="45"/>
      <c r="F207" s="150"/>
      <c r="G207" s="142"/>
      <c r="H207" s="151"/>
      <c r="I207" s="1609"/>
      <c r="J207" s="1603"/>
      <c r="K207" s="46"/>
      <c r="L207" s="152"/>
      <c r="M207" s="46"/>
      <c r="N207" s="152"/>
      <c r="O207" s="46"/>
      <c r="P207" s="152"/>
      <c r="Q207" s="46"/>
      <c r="R207" s="46"/>
      <c r="S207" s="46"/>
      <c r="T207" s="46"/>
      <c r="U207" s="46"/>
      <c r="V207" s="46"/>
      <c r="W207" s="46"/>
      <c r="X207" s="46"/>
      <c r="Y207" s="46"/>
      <c r="Z207" s="46"/>
      <c r="AA207" s="46"/>
      <c r="AB207" s="46"/>
      <c r="AC207" s="46"/>
      <c r="AD207" s="46"/>
      <c r="AE207" s="46"/>
      <c r="AF207" s="46"/>
    </row>
    <row r="208" spans="1:32" ht="12">
      <c r="A208" s="73"/>
      <c r="B208" s="148" t="s">
        <v>218</v>
      </c>
      <c r="C208" s="86" t="s">
        <v>217</v>
      </c>
      <c r="D208" s="149">
        <v>183</v>
      </c>
      <c r="E208" s="45"/>
      <c r="F208" s="150"/>
      <c r="G208" s="151">
        <v>378.54672799999997</v>
      </c>
      <c r="H208" s="151">
        <f t="shared" ref="H208:H211" si="11">G208*$F208</f>
        <v>0</v>
      </c>
      <c r="I208" s="1609"/>
      <c r="J208" s="1603"/>
      <c r="K208" s="46"/>
      <c r="L208" s="152"/>
      <c r="M208" s="46"/>
      <c r="N208" s="152"/>
      <c r="O208" s="46"/>
      <c r="P208" s="152"/>
      <c r="Q208" s="46"/>
      <c r="R208" s="46"/>
      <c r="S208" s="46"/>
      <c r="T208" s="46"/>
      <c r="U208" s="46"/>
      <c r="V208" s="46"/>
      <c r="W208" s="46"/>
      <c r="X208" s="46"/>
      <c r="Y208" s="46"/>
      <c r="Z208" s="46"/>
      <c r="AA208" s="46"/>
      <c r="AB208" s="46"/>
      <c r="AC208" s="46"/>
      <c r="AD208" s="46"/>
      <c r="AE208" s="46"/>
      <c r="AF208" s="46"/>
    </row>
    <row r="209" spans="1:32" ht="12">
      <c r="A209" s="73"/>
      <c r="B209" s="148" t="s">
        <v>219</v>
      </c>
      <c r="C209" s="86" t="s">
        <v>213</v>
      </c>
      <c r="D209" s="149">
        <v>183</v>
      </c>
      <c r="E209" s="149">
        <v>1.02</v>
      </c>
      <c r="F209" s="153">
        <f t="shared" ref="F209:F210" si="12">E209*44/12</f>
        <v>3.74</v>
      </c>
      <c r="G209" s="151">
        <v>0</v>
      </c>
      <c r="H209" s="151">
        <f t="shared" si="11"/>
        <v>0</v>
      </c>
      <c r="I209" s="1609"/>
      <c r="J209" s="1603"/>
      <c r="K209" s="46"/>
      <c r="L209" s="152"/>
      <c r="M209" s="46"/>
      <c r="N209" s="152"/>
      <c r="O209" s="46"/>
      <c r="P209" s="152"/>
      <c r="Q209" s="46"/>
      <c r="R209" s="46"/>
      <c r="S209" s="46"/>
      <c r="T209" s="46"/>
      <c r="U209" s="46"/>
      <c r="V209" s="46"/>
      <c r="W209" s="46"/>
      <c r="X209" s="46"/>
      <c r="Y209" s="46"/>
      <c r="Z209" s="46"/>
      <c r="AA209" s="46"/>
      <c r="AB209" s="46"/>
      <c r="AC209" s="46"/>
      <c r="AD209" s="46"/>
      <c r="AE209" s="46"/>
      <c r="AF209" s="46"/>
    </row>
    <row r="210" spans="1:32" ht="12">
      <c r="A210" s="73"/>
      <c r="B210" s="148" t="s">
        <v>219</v>
      </c>
      <c r="C210" s="86" t="s">
        <v>214</v>
      </c>
      <c r="D210" s="149">
        <v>183</v>
      </c>
      <c r="E210" s="149">
        <v>1.46</v>
      </c>
      <c r="F210" s="153">
        <f t="shared" si="12"/>
        <v>5.3533333333333326</v>
      </c>
      <c r="G210" s="151">
        <v>6.1635079480000003</v>
      </c>
      <c r="H210" s="151">
        <f t="shared" si="11"/>
        <v>32.995312548293327</v>
      </c>
      <c r="I210" s="1609"/>
      <c r="J210" s="1603"/>
      <c r="K210" s="46"/>
      <c r="L210" s="152"/>
      <c r="M210" s="46"/>
      <c r="N210" s="152"/>
      <c r="O210" s="46"/>
      <c r="P210" s="152"/>
      <c r="Q210" s="46"/>
      <c r="R210" s="46"/>
      <c r="S210" s="46"/>
      <c r="T210" s="46"/>
      <c r="U210" s="46"/>
      <c r="V210" s="46"/>
      <c r="W210" s="46"/>
      <c r="X210" s="46"/>
      <c r="Y210" s="46"/>
      <c r="Z210" s="46"/>
      <c r="AA210" s="46"/>
      <c r="AB210" s="46"/>
      <c r="AC210" s="46"/>
      <c r="AD210" s="46"/>
      <c r="AE210" s="46"/>
      <c r="AF210" s="46"/>
    </row>
    <row r="211" spans="1:32" ht="12">
      <c r="A211" s="73"/>
      <c r="B211" s="148" t="s">
        <v>220</v>
      </c>
      <c r="C211" s="127" t="s">
        <v>217</v>
      </c>
      <c r="D211" s="6">
        <v>416</v>
      </c>
      <c r="E211" s="140"/>
      <c r="F211" s="155"/>
      <c r="G211" s="156">
        <v>230.3975188</v>
      </c>
      <c r="H211" s="156">
        <f t="shared" si="11"/>
        <v>0</v>
      </c>
      <c r="I211" s="1609"/>
      <c r="J211" s="1603"/>
      <c r="K211" s="46"/>
      <c r="L211" s="152"/>
      <c r="M211" s="46"/>
      <c r="N211" s="152"/>
      <c r="O211" s="46"/>
      <c r="P211" s="152"/>
      <c r="Q211" s="46"/>
      <c r="R211" s="46"/>
      <c r="S211" s="46"/>
      <c r="T211" s="46"/>
      <c r="U211" s="46"/>
      <c r="V211" s="46"/>
      <c r="W211" s="46"/>
      <c r="X211" s="46"/>
      <c r="Y211" s="46"/>
      <c r="Z211" s="46"/>
      <c r="AA211" s="46"/>
      <c r="AB211" s="46"/>
      <c r="AC211" s="46"/>
      <c r="AD211" s="46"/>
      <c r="AE211" s="46"/>
      <c r="AF211" s="46"/>
    </row>
    <row r="212" spans="1:32" ht="10.199999999999999">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row>
    <row r="213" spans="1:32" ht="10.199999999999999">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row>
    <row r="214" spans="1:32" ht="14.4">
      <c r="A214" s="46"/>
      <c r="B214" s="79" t="s">
        <v>222</v>
      </c>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row>
    <row r="215" spans="1:32" ht="10.199999999999999">
      <c r="A215" s="46"/>
      <c r="B215" s="35"/>
      <c r="C215" s="35"/>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row>
    <row r="216" spans="1:32" ht="12">
      <c r="A216" s="73"/>
      <c r="B216" s="83" t="s">
        <v>145</v>
      </c>
      <c r="C216" s="159">
        <v>2006</v>
      </c>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row>
    <row r="217" spans="1:32" ht="12">
      <c r="A217" s="73"/>
      <c r="B217" s="83" t="s">
        <v>4</v>
      </c>
      <c r="C217" s="160">
        <f>SUM(C218:C220)</f>
        <v>-0.60848498186359934</v>
      </c>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row>
    <row r="218" spans="1:32" ht="12">
      <c r="A218" s="73"/>
      <c r="B218" s="161" t="s">
        <v>223</v>
      </c>
      <c r="C218" s="162">
        <f>(D159+D183)/1000000</f>
        <v>-0.59488539793325701</v>
      </c>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row>
    <row r="219" spans="1:32" ht="12">
      <c r="A219" s="73"/>
      <c r="B219" s="161" t="s">
        <v>224</v>
      </c>
      <c r="C219" s="162">
        <f>D160/1000000</f>
        <v>-1.3668105210000002E-2</v>
      </c>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row>
    <row r="220" spans="1:32" ht="12">
      <c r="A220" s="73"/>
      <c r="B220" s="161" t="s">
        <v>225</v>
      </c>
      <c r="C220" s="162">
        <f>SUM(H203:H211)/1000000</f>
        <v>6.8521279657673324E-5</v>
      </c>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row>
    <row r="221" spans="1:32" ht="12">
      <c r="A221" s="73"/>
      <c r="B221" s="83" t="s">
        <v>5</v>
      </c>
      <c r="C221" s="160">
        <f>SUM(C222:C224)</f>
        <v>0.33180829576462756</v>
      </c>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row>
    <row r="222" spans="1:32" ht="12">
      <c r="A222" s="73"/>
      <c r="B222" s="161" t="s">
        <v>223</v>
      </c>
      <c r="C222" s="162">
        <f>D170*K5/1000000</f>
        <v>0.3055316233988431</v>
      </c>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row>
    <row r="223" spans="1:32" ht="12">
      <c r="A223" s="73"/>
      <c r="B223" s="161" t="s">
        <v>224</v>
      </c>
      <c r="C223" s="162">
        <f>D171*K5/1000000</f>
        <v>3.3962947199999999E-3</v>
      </c>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row>
    <row r="224" spans="1:32" ht="12">
      <c r="A224" s="73"/>
      <c r="B224" s="161" t="s">
        <v>225</v>
      </c>
      <c r="C224" s="162">
        <f>SUM(H190:H198)*K5/1000000</f>
        <v>2.2880377645784423E-2</v>
      </c>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row>
    <row r="225" spans="1:32" ht="12">
      <c r="A225" s="73"/>
      <c r="B225" s="83" t="s">
        <v>152</v>
      </c>
      <c r="C225" s="160">
        <f>C217+C221</f>
        <v>-0.27667668609897178</v>
      </c>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row>
    <row r="226" spans="1:32" ht="10.199999999999999">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row>
    <row r="227" spans="1:32" ht="10.199999999999999">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row>
    <row r="228" spans="1:32" ht="14.4">
      <c r="A228" s="46"/>
      <c r="B228" s="77" t="s">
        <v>226</v>
      </c>
      <c r="C228" s="78"/>
      <c r="D228" s="78"/>
      <c r="E228" s="78"/>
      <c r="F228" s="78"/>
      <c r="G228" s="78"/>
      <c r="H228" s="78"/>
      <c r="I228" s="78"/>
      <c r="J228" s="78"/>
      <c r="K228" s="78"/>
      <c r="L228" s="78"/>
      <c r="M228" s="78"/>
      <c r="N228" s="78"/>
      <c r="O228" s="78"/>
      <c r="P228" s="78"/>
      <c r="Q228" s="78"/>
      <c r="R228" s="78"/>
      <c r="S228" s="78"/>
      <c r="T228" s="46"/>
      <c r="U228" s="46"/>
      <c r="V228" s="46"/>
      <c r="W228" s="46"/>
      <c r="X228" s="46"/>
      <c r="Y228" s="46"/>
      <c r="Z228" s="46"/>
      <c r="AA228" s="46"/>
      <c r="AB228" s="46"/>
      <c r="AC228" s="46"/>
      <c r="AD228" s="46"/>
      <c r="AE228" s="46"/>
      <c r="AF228" s="46"/>
    </row>
    <row r="229" spans="1:32" ht="10.199999999999999">
      <c r="A229" s="46"/>
      <c r="B229" s="46"/>
      <c r="C229" s="35"/>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row>
    <row r="230" spans="1:32" ht="14.4">
      <c r="A230" s="46"/>
      <c r="B230" s="45"/>
      <c r="C230" s="163">
        <v>2006</v>
      </c>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row>
    <row r="231" spans="1:32" ht="14.4">
      <c r="A231" s="73"/>
      <c r="B231" s="164" t="s">
        <v>227</v>
      </c>
      <c r="C231" s="165">
        <f>C232+C239+C242+C244+C247+C248</f>
        <v>-8.5768970654209724</v>
      </c>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row>
    <row r="232" spans="1:32" ht="14.4">
      <c r="A232" s="73"/>
      <c r="B232" s="166" t="s">
        <v>39</v>
      </c>
      <c r="C232" s="167">
        <f>SUM(C233:C238)</f>
        <v>-7.0698906666666677</v>
      </c>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row>
    <row r="233" spans="1:32" ht="14.4">
      <c r="A233" s="73"/>
      <c r="B233" s="168" t="s">
        <v>146</v>
      </c>
      <c r="C233" s="169">
        <f t="shared" ref="C233:C238" si="13">C59</f>
        <v>-5.7273333333333332</v>
      </c>
      <c r="D233" s="46"/>
      <c r="E233" s="46"/>
      <c r="F233" s="170"/>
      <c r="G233" s="170"/>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row>
    <row r="234" spans="1:32" ht="14.4">
      <c r="A234" s="73"/>
      <c r="B234" s="168" t="s">
        <v>147</v>
      </c>
      <c r="C234" s="169">
        <f t="shared" si="13"/>
        <v>-1.1225573333333334</v>
      </c>
      <c r="D234" s="46"/>
      <c r="E234" s="46"/>
      <c r="F234" s="170"/>
      <c r="G234" s="170"/>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row>
    <row r="235" spans="1:32" ht="14.4">
      <c r="A235" s="73"/>
      <c r="B235" s="168" t="s">
        <v>148</v>
      </c>
      <c r="C235" s="169">
        <f t="shared" si="13"/>
        <v>-0.48000000000000009</v>
      </c>
      <c r="D235" s="46"/>
      <c r="E235" s="46"/>
      <c r="F235" s="170"/>
      <c r="G235" s="170"/>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row>
    <row r="236" spans="1:32" ht="14.4">
      <c r="A236" s="73"/>
      <c r="B236" s="168" t="s">
        <v>149</v>
      </c>
      <c r="C236" s="169">
        <f t="shared" si="13"/>
        <v>7.9999999999999988E-2</v>
      </c>
      <c r="D236" s="46"/>
      <c r="E236" s="46"/>
      <c r="F236" s="170"/>
      <c r="G236" s="170"/>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row>
    <row r="237" spans="1:32" ht="14.4">
      <c r="A237" s="73"/>
      <c r="B237" s="168" t="s">
        <v>150</v>
      </c>
      <c r="C237" s="169">
        <f t="shared" si="13"/>
        <v>0.18</v>
      </c>
      <c r="D237" s="46"/>
      <c r="E237" s="46"/>
      <c r="F237" s="170"/>
      <c r="G237" s="170"/>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row>
    <row r="238" spans="1:32" ht="14.4">
      <c r="A238" s="73"/>
      <c r="B238" s="168" t="s">
        <v>151</v>
      </c>
      <c r="C238" s="169">
        <f t="shared" si="13"/>
        <v>0</v>
      </c>
      <c r="D238" s="46"/>
      <c r="E238" s="46"/>
      <c r="F238" s="170"/>
      <c r="G238" s="170"/>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row>
    <row r="239" spans="1:32" ht="14.4">
      <c r="A239" s="73"/>
      <c r="B239" s="166" t="s">
        <v>40</v>
      </c>
      <c r="C239" s="167">
        <f>C240+C241</f>
        <v>-0.90467683894012485</v>
      </c>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row>
    <row r="240" spans="1:32" ht="14.4">
      <c r="A240" s="73"/>
      <c r="B240" s="168" t="s">
        <v>153</v>
      </c>
      <c r="C240" s="169">
        <f>C72</f>
        <v>-0.18467683894012488</v>
      </c>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row>
    <row r="241" spans="1:32" ht="14.4">
      <c r="A241" s="73"/>
      <c r="B241" s="168" t="s">
        <v>159</v>
      </c>
      <c r="C241" s="169">
        <f>C81</f>
        <v>-0.72</v>
      </c>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row>
    <row r="242" spans="1:32" ht="14.4">
      <c r="A242" s="73"/>
      <c r="B242" s="166" t="s">
        <v>41</v>
      </c>
      <c r="C242" s="167">
        <f>C243</f>
        <v>1.9496103000000001E-2</v>
      </c>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row>
    <row r="243" spans="1:32" ht="14.4">
      <c r="A243" s="73"/>
      <c r="B243" s="168" t="s">
        <v>6</v>
      </c>
      <c r="C243" s="169">
        <f>G88</f>
        <v>1.9496103000000001E-2</v>
      </c>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row>
    <row r="244" spans="1:32" ht="14.4">
      <c r="A244" s="73"/>
      <c r="B244" s="166" t="s">
        <v>42</v>
      </c>
      <c r="C244" s="167">
        <f>C245+C246</f>
        <v>4.8851023284791989E-2</v>
      </c>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row>
    <row r="245" spans="1:32" ht="14.4">
      <c r="A245" s="73"/>
      <c r="B245" s="168" t="s">
        <v>5</v>
      </c>
      <c r="C245" s="169">
        <f>C121</f>
        <v>4.3287408013247992E-2</v>
      </c>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row>
    <row r="246" spans="1:32" ht="14.4">
      <c r="A246" s="73"/>
      <c r="B246" s="168" t="s">
        <v>6</v>
      </c>
      <c r="C246" s="169">
        <f>C124</f>
        <v>5.5636152715439991E-3</v>
      </c>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row>
    <row r="247" spans="1:32" ht="14.4">
      <c r="A247" s="73"/>
      <c r="B247" s="166" t="s">
        <v>228</v>
      </c>
      <c r="C247" s="167">
        <f>C133</f>
        <v>-0.39400000000000002</v>
      </c>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row>
    <row r="248" spans="1:32" ht="14.4">
      <c r="A248" s="73"/>
      <c r="B248" s="166" t="s">
        <v>44</v>
      </c>
      <c r="C248" s="167">
        <f>SUM(C249:C250)</f>
        <v>-0.27667668609897178</v>
      </c>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row>
    <row r="249" spans="1:32" ht="14.4">
      <c r="A249" s="73"/>
      <c r="B249" s="168" t="s">
        <v>4</v>
      </c>
      <c r="C249" s="169">
        <f>C217</f>
        <v>-0.60848498186359934</v>
      </c>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row>
    <row r="250" spans="1:32" ht="14.4">
      <c r="A250" s="73"/>
      <c r="B250" s="168" t="s">
        <v>5</v>
      </c>
      <c r="C250" s="169">
        <f>C221</f>
        <v>0.33180829576462756</v>
      </c>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row>
    <row r="251" spans="1:32" ht="10.199999999999999">
      <c r="A251" s="46"/>
      <c r="B251" s="46" t="s">
        <v>229</v>
      </c>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row>
    <row r="252" spans="1:32" ht="10.199999999999999">
      <c r="A252" s="46"/>
      <c r="B252" s="46" t="s">
        <v>230</v>
      </c>
      <c r="C252" s="46"/>
      <c r="D252" s="46"/>
      <c r="E252" s="46"/>
      <c r="F252" s="46"/>
      <c r="G252" s="46"/>
      <c r="H252" s="46"/>
      <c r="I252" s="82"/>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row>
    <row r="253" spans="1:32" ht="10.199999999999999">
      <c r="A253" s="46"/>
      <c r="B253" s="46" t="s">
        <v>231</v>
      </c>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row>
    <row r="254" spans="1:32" ht="10.199999999999999">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row>
    <row r="255" spans="1:32" ht="10.199999999999999">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row>
    <row r="256" spans="1:32" ht="10.199999999999999">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row>
    <row r="257" spans="1:32" ht="10.199999999999999">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row>
    <row r="258" spans="1:32" ht="10.199999999999999">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row>
    <row r="259" spans="1:32" ht="10.199999999999999">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row>
    <row r="260" spans="1:32" ht="10.199999999999999">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row>
    <row r="261" spans="1:32" ht="10.199999999999999">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row>
    <row r="262" spans="1:32" ht="10.199999999999999">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row>
    <row r="263" spans="1:32" ht="10.199999999999999">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row>
    <row r="264" spans="1:32" ht="10.199999999999999">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row>
    <row r="265" spans="1:32" ht="10.199999999999999">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row>
    <row r="266" spans="1:32" ht="10.199999999999999">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row>
    <row r="267" spans="1:32" ht="10.199999999999999">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row>
    <row r="268" spans="1:32" ht="10.199999999999999">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row>
    <row r="269" spans="1:32" ht="10.199999999999999">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row>
    <row r="270" spans="1:32" ht="10.199999999999999">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row>
    <row r="271" spans="1:32" ht="10.199999999999999">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row>
    <row r="272" spans="1:32" ht="10.199999999999999">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row>
    <row r="273" spans="1:32" ht="10.199999999999999">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row>
    <row r="274" spans="1:32" ht="10.199999999999999">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row>
    <row r="275" spans="1:32" ht="10.199999999999999">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row>
    <row r="276" spans="1:32" ht="10.199999999999999">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row>
    <row r="277" spans="1:32" ht="10.199999999999999">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row>
    <row r="278" spans="1:32" ht="10.199999999999999">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row>
    <row r="279" spans="1:32" ht="10.199999999999999">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row>
    <row r="280" spans="1:32" ht="10.199999999999999">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row>
    <row r="281" spans="1:32" ht="10.199999999999999">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row>
    <row r="282" spans="1:32" ht="10.199999999999999">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row>
    <row r="283" spans="1:32" ht="10.199999999999999">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row>
    <row r="284" spans="1:32" ht="10.199999999999999">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row>
    <row r="285" spans="1:32" ht="10.199999999999999">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row>
    <row r="286" spans="1:32" ht="10.199999999999999">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row>
    <row r="287" spans="1:32" ht="10.199999999999999">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row>
    <row r="288" spans="1:32" ht="10.199999999999999">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row>
    <row r="289" spans="1:32" ht="10.199999999999999">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row>
    <row r="290" spans="1:32" ht="10.199999999999999">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row>
    <row r="291" spans="1:32" ht="10.199999999999999">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row>
    <row r="292" spans="1:32" ht="10.199999999999999">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row>
    <row r="293" spans="1:32" ht="10.199999999999999">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row>
    <row r="294" spans="1:32" ht="10.199999999999999">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row>
    <row r="295" spans="1:32" ht="10.199999999999999">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row>
    <row r="296" spans="1:32" ht="10.199999999999999">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row>
    <row r="297" spans="1:32" ht="10.199999999999999">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row>
    <row r="298" spans="1:32" ht="10.199999999999999">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row>
    <row r="299" spans="1:32" ht="10.199999999999999">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row>
    <row r="300" spans="1:32" ht="10.199999999999999">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row>
    <row r="301" spans="1:32" ht="10.199999999999999">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row>
    <row r="302" spans="1:32" ht="10.199999999999999">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row>
    <row r="303" spans="1:32" ht="10.199999999999999">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row>
    <row r="304" spans="1:32" ht="10.199999999999999">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row>
    <row r="305" spans="1:32" ht="10.199999999999999">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row>
    <row r="306" spans="1:32" ht="10.199999999999999">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row>
    <row r="307" spans="1:32" ht="10.199999999999999">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row>
    <row r="308" spans="1:32" ht="10.199999999999999">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row>
    <row r="309" spans="1:32" ht="10.199999999999999">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row>
    <row r="310" spans="1:32" ht="10.199999999999999">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row>
    <row r="311" spans="1:32" ht="10.199999999999999">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row>
    <row r="312" spans="1:32" ht="10.199999999999999">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row>
    <row r="313" spans="1:32" ht="10.199999999999999">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row>
    <row r="314" spans="1:32" ht="10.199999999999999">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row>
    <row r="315" spans="1:32" ht="10.199999999999999">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row>
    <row r="316" spans="1:32" ht="10.199999999999999">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row>
    <row r="317" spans="1:32" ht="10.199999999999999">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row>
    <row r="318" spans="1:32" ht="10.199999999999999">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row>
    <row r="319" spans="1:32" ht="10.199999999999999">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row>
    <row r="320" spans="1:32" ht="10.199999999999999">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row>
    <row r="321" spans="1:32" ht="10.199999999999999">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row>
    <row r="322" spans="1:32" ht="10.199999999999999">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row>
    <row r="323" spans="1:32" ht="10.199999999999999">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row>
    <row r="324" spans="1:32" ht="10.199999999999999">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row>
    <row r="325" spans="1:32" ht="10.199999999999999">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row>
    <row r="326" spans="1:32" ht="10.199999999999999">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row>
    <row r="327" spans="1:32" ht="10.199999999999999">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row>
    <row r="328" spans="1:32" ht="10.199999999999999">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ht="10.199999999999999">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row>
    <row r="330" spans="1:32" ht="10.199999999999999">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row>
    <row r="331" spans="1:32" ht="10.199999999999999">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row>
    <row r="332" spans="1:32" ht="10.199999999999999">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row>
    <row r="333" spans="1:32" ht="10.199999999999999">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row>
    <row r="334" spans="1:32" ht="10.199999999999999">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row>
    <row r="335" spans="1:32" ht="10.199999999999999">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row>
    <row r="336" spans="1:32" ht="10.199999999999999">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row>
    <row r="337" spans="1:32" ht="10.199999999999999">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row>
    <row r="338" spans="1:32" ht="10.199999999999999">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row>
    <row r="339" spans="1:32" ht="10.199999999999999">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row>
    <row r="340" spans="1:32" ht="10.199999999999999">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row>
    <row r="341" spans="1:32" ht="10.199999999999999">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row>
    <row r="342" spans="1:32" ht="10.199999999999999">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row>
    <row r="343" spans="1:32" ht="10.199999999999999">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row>
    <row r="344" spans="1:32" ht="10.199999999999999">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row>
    <row r="345" spans="1:32" ht="10.199999999999999">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row>
    <row r="346" spans="1:32" ht="10.199999999999999">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row>
    <row r="347" spans="1:32" ht="10.199999999999999">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row>
    <row r="348" spans="1:32" ht="10.199999999999999">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row>
    <row r="349" spans="1:32" ht="10.199999999999999">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row>
    <row r="350" spans="1:32" ht="10.199999999999999">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row>
    <row r="351" spans="1:32" ht="10.199999999999999">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row>
    <row r="352" spans="1:32" ht="10.199999999999999">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row>
    <row r="353" spans="1:32" ht="10.199999999999999">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row>
    <row r="354" spans="1:32" ht="10.199999999999999">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row>
    <row r="355" spans="1:32" ht="10.199999999999999">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row>
    <row r="356" spans="1:32" ht="10.199999999999999">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row>
    <row r="357" spans="1:32" ht="10.199999999999999">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row>
    <row r="358" spans="1:32" ht="10.199999999999999">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row>
    <row r="359" spans="1:32" ht="10.199999999999999">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row>
    <row r="360" spans="1:32" ht="10.199999999999999">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row>
    <row r="361" spans="1:32" ht="10.199999999999999">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row>
    <row r="362" spans="1:32" ht="10.199999999999999">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row>
    <row r="363" spans="1:32" ht="10.199999999999999">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row>
    <row r="364" spans="1:32" ht="10.199999999999999">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row>
    <row r="365" spans="1:32" ht="10.199999999999999">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row>
    <row r="366" spans="1:32" ht="10.199999999999999">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row>
    <row r="367" spans="1:32" ht="10.199999999999999">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row>
    <row r="368" spans="1:32" ht="10.199999999999999">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row>
    <row r="369" spans="1:32" ht="10.199999999999999">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row>
    <row r="370" spans="1:32" ht="10.199999999999999">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row>
    <row r="371" spans="1:32" ht="10.199999999999999">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row>
    <row r="372" spans="1:32" ht="10.199999999999999">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row>
    <row r="373" spans="1:32" ht="10.199999999999999">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row>
    <row r="374" spans="1:32" ht="10.199999999999999">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row>
    <row r="375" spans="1:32" ht="10.199999999999999">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row>
    <row r="376" spans="1:32" ht="10.199999999999999">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row>
    <row r="377" spans="1:32" ht="10.199999999999999">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row>
    <row r="378" spans="1:32" ht="10.199999999999999">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row>
    <row r="379" spans="1:32" ht="10.199999999999999">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row>
    <row r="380" spans="1:32" ht="10.199999999999999">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row>
    <row r="381" spans="1:32" ht="10.199999999999999">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row>
    <row r="382" spans="1:32" ht="10.199999999999999">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row>
    <row r="383" spans="1:32" ht="10.199999999999999">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row>
    <row r="384" spans="1:32" ht="10.199999999999999">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row>
    <row r="385" spans="1:32" ht="10.199999999999999">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row>
    <row r="386" spans="1:32" ht="10.199999999999999">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row>
    <row r="387" spans="1:32" ht="10.199999999999999">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row>
    <row r="388" spans="1:32" ht="10.199999999999999">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row>
    <row r="389" spans="1:32" ht="10.199999999999999">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row>
    <row r="390" spans="1:32" ht="10.199999999999999">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row>
    <row r="391" spans="1:32" ht="10.199999999999999">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row>
    <row r="392" spans="1:32" ht="10.199999999999999">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row>
    <row r="393" spans="1:32" ht="10.199999999999999">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row>
    <row r="394" spans="1:32" ht="10.199999999999999">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row>
    <row r="395" spans="1:32" ht="10.199999999999999">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row>
    <row r="396" spans="1:32" ht="10.199999999999999">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row>
    <row r="397" spans="1:32" ht="10.199999999999999">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row>
    <row r="398" spans="1:32" ht="10.199999999999999">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row>
    <row r="399" spans="1:32" ht="10.199999999999999">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row>
    <row r="400" spans="1:32" ht="10.199999999999999">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row>
    <row r="401" spans="1:32" ht="10.199999999999999">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row>
    <row r="402" spans="1:32" ht="10.199999999999999">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row>
    <row r="403" spans="1:32" ht="10.199999999999999">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row>
    <row r="404" spans="1:32" ht="10.199999999999999">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row>
    <row r="405" spans="1:32" ht="10.199999999999999">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row>
    <row r="406" spans="1:32" ht="10.199999999999999">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row>
    <row r="407" spans="1:32" ht="10.199999999999999">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10.199999999999999">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row>
    <row r="409" spans="1:32" ht="10.199999999999999">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row>
    <row r="410" spans="1:32" ht="10.199999999999999">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c r="AD410" s="46"/>
      <c r="AE410" s="46"/>
      <c r="AF410" s="46"/>
    </row>
    <row r="411" spans="1:32" ht="10.199999999999999">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row>
    <row r="412" spans="1:32" ht="10.199999999999999">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row>
    <row r="413" spans="1:32" ht="10.199999999999999">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row>
    <row r="414" spans="1:32" ht="10.199999999999999">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c r="AC414" s="46"/>
      <c r="AD414" s="46"/>
      <c r="AE414" s="46"/>
      <c r="AF414" s="46"/>
    </row>
    <row r="415" spans="1:32" ht="10.199999999999999">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c r="AC415" s="46"/>
      <c r="AD415" s="46"/>
      <c r="AE415" s="46"/>
      <c r="AF415" s="46"/>
    </row>
    <row r="416" spans="1:32" ht="10.199999999999999">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c r="AC416" s="46"/>
      <c r="AD416" s="46"/>
      <c r="AE416" s="46"/>
      <c r="AF416" s="46"/>
    </row>
    <row r="417" spans="1:32" ht="10.199999999999999">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c r="AC417" s="46"/>
      <c r="AD417" s="46"/>
      <c r="AE417" s="46"/>
      <c r="AF417" s="46"/>
    </row>
    <row r="418" spans="1:32" ht="10.199999999999999">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c r="AC418" s="46"/>
      <c r="AD418" s="46"/>
      <c r="AE418" s="46"/>
      <c r="AF418" s="46"/>
    </row>
    <row r="419" spans="1:32" ht="10.199999999999999">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c r="AC419" s="46"/>
      <c r="AD419" s="46"/>
      <c r="AE419" s="46"/>
      <c r="AF419" s="46"/>
    </row>
    <row r="420" spans="1:32" ht="10.199999999999999">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c r="AC420" s="46"/>
      <c r="AD420" s="46"/>
      <c r="AE420" s="46"/>
      <c r="AF420" s="46"/>
    </row>
    <row r="421" spans="1:32" ht="10.199999999999999">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c r="AC421" s="46"/>
      <c r="AD421" s="46"/>
      <c r="AE421" s="46"/>
      <c r="AF421" s="46"/>
    </row>
    <row r="422" spans="1:32" ht="10.199999999999999">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c r="AD422" s="46"/>
      <c r="AE422" s="46"/>
      <c r="AF422" s="46"/>
    </row>
    <row r="423" spans="1:32" ht="10.199999999999999">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c r="AC423" s="46"/>
      <c r="AD423" s="46"/>
      <c r="AE423" s="46"/>
      <c r="AF423" s="46"/>
    </row>
    <row r="424" spans="1:32" ht="10.199999999999999">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c r="AC424" s="46"/>
      <c r="AD424" s="46"/>
      <c r="AE424" s="46"/>
      <c r="AF424" s="46"/>
    </row>
    <row r="425" spans="1:32" ht="10.199999999999999">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c r="AC425" s="46"/>
      <c r="AD425" s="46"/>
      <c r="AE425" s="46"/>
      <c r="AF425" s="46"/>
    </row>
    <row r="426" spans="1:32" ht="10.199999999999999">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c r="AC426" s="46"/>
      <c r="AD426" s="46"/>
      <c r="AE426" s="46"/>
      <c r="AF426" s="46"/>
    </row>
    <row r="427" spans="1:32" ht="10.199999999999999">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c r="AC427" s="46"/>
      <c r="AD427" s="46"/>
      <c r="AE427" s="46"/>
      <c r="AF427" s="46"/>
    </row>
    <row r="428" spans="1:32" ht="10.199999999999999">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c r="AC428" s="46"/>
      <c r="AD428" s="46"/>
      <c r="AE428" s="46"/>
      <c r="AF428" s="46"/>
    </row>
    <row r="429" spans="1:32" ht="10.199999999999999">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c r="AC429" s="46"/>
      <c r="AD429" s="46"/>
      <c r="AE429" s="46"/>
      <c r="AF429" s="46"/>
    </row>
    <row r="430" spans="1:32" ht="10.199999999999999">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c r="AC430" s="46"/>
      <c r="AD430" s="46"/>
      <c r="AE430" s="46"/>
      <c r="AF430" s="46"/>
    </row>
    <row r="431" spans="1:32" ht="10.199999999999999">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c r="AC431" s="46"/>
      <c r="AD431" s="46"/>
      <c r="AE431" s="46"/>
      <c r="AF431" s="46"/>
    </row>
    <row r="432" spans="1:32" ht="10.199999999999999">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c r="AC432" s="46"/>
      <c r="AD432" s="46"/>
      <c r="AE432" s="46"/>
      <c r="AF432" s="46"/>
    </row>
    <row r="433" spans="1:32" ht="10.199999999999999">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c r="AD433" s="46"/>
      <c r="AE433" s="46"/>
      <c r="AF433" s="46"/>
    </row>
    <row r="434" spans="1:32" ht="10.199999999999999">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c r="AC434" s="46"/>
      <c r="AD434" s="46"/>
      <c r="AE434" s="46"/>
      <c r="AF434" s="46"/>
    </row>
    <row r="435" spans="1:32" ht="10.199999999999999">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c r="AD435" s="46"/>
      <c r="AE435" s="46"/>
      <c r="AF435" s="46"/>
    </row>
    <row r="436" spans="1:32" ht="10.199999999999999">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c r="AC436" s="46"/>
      <c r="AD436" s="46"/>
      <c r="AE436" s="46"/>
      <c r="AF436" s="46"/>
    </row>
    <row r="437" spans="1:32" ht="10.199999999999999">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c r="AC437" s="46"/>
      <c r="AD437" s="46"/>
      <c r="AE437" s="46"/>
      <c r="AF437" s="46"/>
    </row>
    <row r="438" spans="1:32" ht="10.199999999999999">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c r="AC438" s="46"/>
      <c r="AD438" s="46"/>
      <c r="AE438" s="46"/>
      <c r="AF438" s="46"/>
    </row>
    <row r="439" spans="1:32" ht="10.199999999999999">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c r="AC439" s="46"/>
      <c r="AD439" s="46"/>
      <c r="AE439" s="46"/>
      <c r="AF439" s="46"/>
    </row>
    <row r="440" spans="1:32" ht="10.199999999999999">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c r="AC440" s="46"/>
      <c r="AD440" s="46"/>
      <c r="AE440" s="46"/>
      <c r="AF440" s="46"/>
    </row>
    <row r="441" spans="1:32" ht="10.199999999999999">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c r="AC441" s="46"/>
      <c r="AD441" s="46"/>
      <c r="AE441" s="46"/>
      <c r="AF441" s="46"/>
    </row>
    <row r="442" spans="1:32" ht="10.199999999999999">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c r="AC442" s="46"/>
      <c r="AD442" s="46"/>
      <c r="AE442" s="46"/>
      <c r="AF442" s="46"/>
    </row>
    <row r="443" spans="1:32" ht="10.199999999999999">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c r="AC443" s="46"/>
      <c r="AD443" s="46"/>
      <c r="AE443" s="46"/>
      <c r="AF443" s="46"/>
    </row>
    <row r="444" spans="1:32" ht="10.199999999999999">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c r="AC444" s="46"/>
      <c r="AD444" s="46"/>
      <c r="AE444" s="46"/>
      <c r="AF444" s="46"/>
    </row>
    <row r="445" spans="1:32" ht="10.199999999999999">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c r="AC445" s="46"/>
      <c r="AD445" s="46"/>
      <c r="AE445" s="46"/>
      <c r="AF445" s="46"/>
    </row>
    <row r="446" spans="1:32" ht="10.199999999999999">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c r="AD446" s="46"/>
      <c r="AE446" s="46"/>
      <c r="AF446" s="46"/>
    </row>
    <row r="447" spans="1:32" ht="10.199999999999999">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c r="AC447" s="46"/>
      <c r="AD447" s="46"/>
      <c r="AE447" s="46"/>
      <c r="AF447" s="46"/>
    </row>
    <row r="448" spans="1:32" ht="10.199999999999999">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c r="AC448" s="46"/>
      <c r="AD448" s="46"/>
      <c r="AE448" s="46"/>
      <c r="AF448" s="46"/>
    </row>
    <row r="449" spans="1:32" ht="10.199999999999999">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c r="AC449" s="46"/>
      <c r="AD449" s="46"/>
      <c r="AE449" s="46"/>
      <c r="AF449" s="46"/>
    </row>
    <row r="450" spans="1:32" ht="10.199999999999999">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c r="AC450" s="46"/>
      <c r="AD450" s="46"/>
      <c r="AE450" s="46"/>
      <c r="AF450" s="46"/>
    </row>
    <row r="451" spans="1:32" ht="10.199999999999999">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c r="AC451" s="46"/>
      <c r="AD451" s="46"/>
      <c r="AE451" s="46"/>
      <c r="AF451" s="46"/>
    </row>
    <row r="452" spans="1:32" ht="10.199999999999999">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c r="AC452" s="46"/>
      <c r="AD452" s="46"/>
      <c r="AE452" s="46"/>
      <c r="AF452" s="46"/>
    </row>
    <row r="453" spans="1:32" ht="10.199999999999999">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c r="AC453" s="46"/>
      <c r="AD453" s="46"/>
      <c r="AE453" s="46"/>
      <c r="AF453" s="46"/>
    </row>
    <row r="454" spans="1:32" ht="10.199999999999999">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c r="AC454" s="46"/>
      <c r="AD454" s="46"/>
      <c r="AE454" s="46"/>
      <c r="AF454" s="46"/>
    </row>
    <row r="455" spans="1:32" ht="10.199999999999999">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c r="AD455" s="46"/>
      <c r="AE455" s="46"/>
      <c r="AF455" s="46"/>
    </row>
    <row r="456" spans="1:32" ht="10.199999999999999">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c r="AC456" s="46"/>
      <c r="AD456" s="46"/>
      <c r="AE456" s="46"/>
      <c r="AF456" s="46"/>
    </row>
    <row r="457" spans="1:32" ht="10.199999999999999">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c r="AD457" s="46"/>
      <c r="AE457" s="46"/>
      <c r="AF457" s="46"/>
    </row>
    <row r="458" spans="1:32" ht="10.199999999999999">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c r="AC458" s="46"/>
      <c r="AD458" s="46"/>
      <c r="AE458" s="46"/>
      <c r="AF458" s="46"/>
    </row>
    <row r="459" spans="1:32" ht="10.199999999999999">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c r="AD459" s="46"/>
      <c r="AE459" s="46"/>
      <c r="AF459" s="46"/>
    </row>
    <row r="460" spans="1:32" ht="10.199999999999999">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c r="AC460" s="46"/>
      <c r="AD460" s="46"/>
      <c r="AE460" s="46"/>
      <c r="AF460" s="46"/>
    </row>
    <row r="461" spans="1:32" ht="10.199999999999999">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c r="AC461" s="46"/>
      <c r="AD461" s="46"/>
      <c r="AE461" s="46"/>
      <c r="AF461" s="46"/>
    </row>
    <row r="462" spans="1:32" ht="10.199999999999999">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c r="AC462" s="46"/>
      <c r="AD462" s="46"/>
      <c r="AE462" s="46"/>
      <c r="AF462" s="46"/>
    </row>
    <row r="463" spans="1:32" ht="10.199999999999999">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c r="AD463" s="46"/>
      <c r="AE463" s="46"/>
      <c r="AF463" s="46"/>
    </row>
    <row r="464" spans="1:32" ht="10.199999999999999">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c r="AC464" s="46"/>
      <c r="AD464" s="46"/>
      <c r="AE464" s="46"/>
      <c r="AF464" s="46"/>
    </row>
    <row r="465" spans="1:32" ht="10.199999999999999">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c r="AD465" s="46"/>
      <c r="AE465" s="46"/>
      <c r="AF465" s="46"/>
    </row>
    <row r="466" spans="1:32" ht="10.199999999999999">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c r="AC466" s="46"/>
      <c r="AD466" s="46"/>
      <c r="AE466" s="46"/>
      <c r="AF466" s="46"/>
    </row>
    <row r="467" spans="1:32" ht="10.199999999999999">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c r="AC467" s="46"/>
      <c r="AD467" s="46"/>
      <c r="AE467" s="46"/>
      <c r="AF467" s="46"/>
    </row>
    <row r="468" spans="1:32" ht="10.199999999999999">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c r="AC468" s="46"/>
      <c r="AD468" s="46"/>
      <c r="AE468" s="46"/>
      <c r="AF468" s="46"/>
    </row>
    <row r="469" spans="1:32" ht="10.199999999999999">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c r="AC469" s="46"/>
      <c r="AD469" s="46"/>
      <c r="AE469" s="46"/>
      <c r="AF469" s="46"/>
    </row>
    <row r="470" spans="1:32" ht="10.199999999999999">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c r="AC470" s="46"/>
      <c r="AD470" s="46"/>
      <c r="AE470" s="46"/>
      <c r="AF470" s="46"/>
    </row>
    <row r="471" spans="1:32" ht="10.199999999999999">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c r="AC471" s="46"/>
      <c r="AD471" s="46"/>
      <c r="AE471" s="46"/>
      <c r="AF471" s="46"/>
    </row>
    <row r="472" spans="1:32" ht="10.199999999999999">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c r="AC472" s="46"/>
      <c r="AD472" s="46"/>
      <c r="AE472" s="46"/>
      <c r="AF472" s="46"/>
    </row>
    <row r="473" spans="1:32" ht="10.199999999999999">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c r="AC473" s="46"/>
      <c r="AD473" s="46"/>
      <c r="AE473" s="46"/>
      <c r="AF473" s="46"/>
    </row>
    <row r="474" spans="1:32" ht="10.199999999999999">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c r="AC474" s="46"/>
      <c r="AD474" s="46"/>
      <c r="AE474" s="46"/>
      <c r="AF474" s="46"/>
    </row>
    <row r="475" spans="1:32" ht="10.199999999999999">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c r="AC475" s="46"/>
      <c r="AD475" s="46"/>
      <c r="AE475" s="46"/>
      <c r="AF475" s="46"/>
    </row>
    <row r="476" spans="1:32" ht="10.199999999999999">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c r="AC476" s="46"/>
      <c r="AD476" s="46"/>
      <c r="AE476" s="46"/>
      <c r="AF476" s="46"/>
    </row>
    <row r="477" spans="1:32" ht="10.199999999999999">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c r="AC477" s="46"/>
      <c r="AD477" s="46"/>
      <c r="AE477" s="46"/>
      <c r="AF477" s="46"/>
    </row>
    <row r="478" spans="1:32" ht="10.199999999999999">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c r="AC478" s="46"/>
      <c r="AD478" s="46"/>
      <c r="AE478" s="46"/>
      <c r="AF478" s="46"/>
    </row>
    <row r="479" spans="1:32" ht="10.199999999999999">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c r="AC479" s="46"/>
      <c r="AD479" s="46"/>
      <c r="AE479" s="46"/>
      <c r="AF479" s="46"/>
    </row>
    <row r="480" spans="1:32" ht="10.199999999999999">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c r="AC480" s="46"/>
      <c r="AD480" s="46"/>
      <c r="AE480" s="46"/>
      <c r="AF480" s="46"/>
    </row>
    <row r="481" spans="1:32" ht="10.199999999999999">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c r="AC481" s="46"/>
      <c r="AD481" s="46"/>
      <c r="AE481" s="46"/>
      <c r="AF481" s="46"/>
    </row>
    <row r="482" spans="1:32" ht="10.199999999999999">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c r="AC482" s="46"/>
      <c r="AD482" s="46"/>
      <c r="AE482" s="46"/>
      <c r="AF482" s="46"/>
    </row>
    <row r="483" spans="1:32" ht="10.199999999999999">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c r="AC483" s="46"/>
      <c r="AD483" s="46"/>
      <c r="AE483" s="46"/>
      <c r="AF483" s="46"/>
    </row>
    <row r="484" spans="1:32" ht="10.199999999999999">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c r="AC484" s="46"/>
      <c r="AD484" s="46"/>
      <c r="AE484" s="46"/>
      <c r="AF484" s="46"/>
    </row>
    <row r="485" spans="1:32" ht="10.199999999999999">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c r="AC485" s="46"/>
      <c r="AD485" s="46"/>
      <c r="AE485" s="46"/>
      <c r="AF485" s="46"/>
    </row>
    <row r="486" spans="1:32" ht="10.199999999999999">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c r="AC486" s="46"/>
      <c r="AD486" s="46"/>
      <c r="AE486" s="46"/>
      <c r="AF486" s="46"/>
    </row>
    <row r="487" spans="1:32" ht="10.199999999999999">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c r="AD487" s="46"/>
      <c r="AE487" s="46"/>
      <c r="AF487" s="46"/>
    </row>
    <row r="488" spans="1:32" ht="10.199999999999999">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c r="AD488" s="46"/>
      <c r="AE488" s="46"/>
      <c r="AF488" s="46"/>
    </row>
    <row r="489" spans="1:32" ht="10.199999999999999">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c r="AD489" s="46"/>
      <c r="AE489" s="46"/>
      <c r="AF489" s="46"/>
    </row>
    <row r="490" spans="1:32" ht="10.199999999999999">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c r="AC490" s="46"/>
      <c r="AD490" s="46"/>
      <c r="AE490" s="46"/>
      <c r="AF490" s="46"/>
    </row>
    <row r="491" spans="1:32" ht="10.199999999999999">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c r="AC491" s="46"/>
      <c r="AD491" s="46"/>
      <c r="AE491" s="46"/>
      <c r="AF491" s="46"/>
    </row>
    <row r="492" spans="1:32" ht="10.199999999999999">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c r="AC492" s="46"/>
      <c r="AD492" s="46"/>
      <c r="AE492" s="46"/>
      <c r="AF492" s="46"/>
    </row>
    <row r="493" spans="1:32" ht="10.199999999999999">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c r="AC493" s="46"/>
      <c r="AD493" s="46"/>
      <c r="AE493" s="46"/>
      <c r="AF493" s="46"/>
    </row>
    <row r="494" spans="1:32" ht="10.199999999999999">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c r="AC494" s="46"/>
      <c r="AD494" s="46"/>
      <c r="AE494" s="46"/>
      <c r="AF494" s="46"/>
    </row>
    <row r="495" spans="1:32" ht="10.199999999999999">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c r="AC495" s="46"/>
      <c r="AD495" s="46"/>
      <c r="AE495" s="46"/>
      <c r="AF495" s="46"/>
    </row>
    <row r="496" spans="1:32" ht="10.199999999999999">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c r="AC496" s="46"/>
      <c r="AD496" s="46"/>
      <c r="AE496" s="46"/>
      <c r="AF496" s="46"/>
    </row>
    <row r="497" spans="1:32" ht="10.199999999999999">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c r="AC497" s="46"/>
      <c r="AD497" s="46"/>
      <c r="AE497" s="46"/>
      <c r="AF497" s="46"/>
    </row>
    <row r="498" spans="1:32" ht="10.199999999999999">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c r="AC498" s="46"/>
      <c r="AD498" s="46"/>
      <c r="AE498" s="46"/>
      <c r="AF498" s="46"/>
    </row>
    <row r="499" spans="1:32" ht="10.199999999999999">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c r="AC499" s="46"/>
      <c r="AD499" s="46"/>
      <c r="AE499" s="46"/>
      <c r="AF499" s="46"/>
    </row>
    <row r="500" spans="1:32" ht="10.199999999999999">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c r="AC500" s="46"/>
      <c r="AD500" s="46"/>
      <c r="AE500" s="46"/>
      <c r="AF500" s="46"/>
    </row>
    <row r="501" spans="1:32" ht="10.199999999999999">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c r="AD501" s="46"/>
      <c r="AE501" s="46"/>
      <c r="AF501" s="46"/>
    </row>
    <row r="502" spans="1:32" ht="10.199999999999999">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c r="AD502" s="46"/>
      <c r="AE502" s="46"/>
      <c r="AF502" s="46"/>
    </row>
    <row r="503" spans="1:32" ht="10.199999999999999">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c r="AC503" s="46"/>
      <c r="AD503" s="46"/>
      <c r="AE503" s="46"/>
      <c r="AF503" s="46"/>
    </row>
    <row r="504" spans="1:32" ht="10.199999999999999">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c r="AC504" s="46"/>
      <c r="AD504" s="46"/>
      <c r="AE504" s="46"/>
      <c r="AF504" s="46"/>
    </row>
    <row r="505" spans="1:32" ht="10.199999999999999">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c r="AC505" s="46"/>
      <c r="AD505" s="46"/>
      <c r="AE505" s="46"/>
      <c r="AF505" s="46"/>
    </row>
    <row r="506" spans="1:32" ht="10.199999999999999">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c r="AC506" s="46"/>
      <c r="AD506" s="46"/>
      <c r="AE506" s="46"/>
      <c r="AF506" s="46"/>
    </row>
    <row r="507" spans="1:32" ht="10.199999999999999">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c r="AC507" s="46"/>
      <c r="AD507" s="46"/>
      <c r="AE507" s="46"/>
      <c r="AF507" s="46"/>
    </row>
    <row r="508" spans="1:32" ht="10.199999999999999">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c r="AC508" s="46"/>
      <c r="AD508" s="46"/>
      <c r="AE508" s="46"/>
      <c r="AF508" s="46"/>
    </row>
    <row r="509" spans="1:32" ht="10.199999999999999">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c r="AC509" s="46"/>
      <c r="AD509" s="46"/>
      <c r="AE509" s="46"/>
      <c r="AF509" s="46"/>
    </row>
    <row r="510" spans="1:32" ht="10.199999999999999">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c r="AC510" s="46"/>
      <c r="AD510" s="46"/>
      <c r="AE510" s="46"/>
      <c r="AF510" s="46"/>
    </row>
    <row r="511" spans="1:32" ht="10.199999999999999">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c r="AC511" s="46"/>
      <c r="AD511" s="46"/>
      <c r="AE511" s="46"/>
      <c r="AF511" s="46"/>
    </row>
    <row r="512" spans="1:32" ht="10.199999999999999">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c r="AC512" s="46"/>
      <c r="AD512" s="46"/>
      <c r="AE512" s="46"/>
      <c r="AF512" s="46"/>
    </row>
    <row r="513" spans="1:32" ht="10.199999999999999">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c r="AC513" s="46"/>
      <c r="AD513" s="46"/>
      <c r="AE513" s="46"/>
      <c r="AF513" s="46"/>
    </row>
    <row r="514" spans="1:32" ht="10.199999999999999">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c r="AC514" s="46"/>
      <c r="AD514" s="46"/>
      <c r="AE514" s="46"/>
      <c r="AF514" s="46"/>
    </row>
    <row r="515" spans="1:32" ht="10.199999999999999">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c r="AC515" s="46"/>
      <c r="AD515" s="46"/>
      <c r="AE515" s="46"/>
      <c r="AF515" s="46"/>
    </row>
    <row r="516" spans="1:32" ht="10.199999999999999">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c r="AC516" s="46"/>
      <c r="AD516" s="46"/>
      <c r="AE516" s="46"/>
      <c r="AF516" s="46"/>
    </row>
    <row r="517" spans="1:32" ht="10.199999999999999">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c r="AC517" s="46"/>
      <c r="AD517" s="46"/>
      <c r="AE517" s="46"/>
      <c r="AF517" s="46"/>
    </row>
    <row r="518" spans="1:32" ht="10.199999999999999">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c r="AC518" s="46"/>
      <c r="AD518" s="46"/>
      <c r="AE518" s="46"/>
      <c r="AF518" s="46"/>
    </row>
    <row r="519" spans="1:32" ht="10.199999999999999">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c r="AC519" s="46"/>
      <c r="AD519" s="46"/>
      <c r="AE519" s="46"/>
      <c r="AF519" s="46"/>
    </row>
    <row r="520" spans="1:32" ht="10.199999999999999">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c r="AC520" s="46"/>
      <c r="AD520" s="46"/>
      <c r="AE520" s="46"/>
      <c r="AF520" s="46"/>
    </row>
    <row r="521" spans="1:32" ht="10.199999999999999">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c r="AC521" s="46"/>
      <c r="AD521" s="46"/>
      <c r="AE521" s="46"/>
      <c r="AF521" s="46"/>
    </row>
    <row r="522" spans="1:32" ht="10.199999999999999">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c r="AC522" s="46"/>
      <c r="AD522" s="46"/>
      <c r="AE522" s="46"/>
      <c r="AF522" s="46"/>
    </row>
    <row r="523" spans="1:32" ht="10.199999999999999">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c r="AC523" s="46"/>
      <c r="AD523" s="46"/>
      <c r="AE523" s="46"/>
      <c r="AF523" s="46"/>
    </row>
    <row r="524" spans="1:32" ht="10.199999999999999">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c r="AC524" s="46"/>
      <c r="AD524" s="46"/>
      <c r="AE524" s="46"/>
      <c r="AF524" s="46"/>
    </row>
    <row r="525" spans="1:32" ht="10.199999999999999">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c r="AC525" s="46"/>
      <c r="AD525" s="46"/>
      <c r="AE525" s="46"/>
      <c r="AF525" s="46"/>
    </row>
    <row r="526" spans="1:32" ht="10.199999999999999">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c r="AC526" s="46"/>
      <c r="AD526" s="46"/>
      <c r="AE526" s="46"/>
      <c r="AF526" s="46"/>
    </row>
    <row r="527" spans="1:32" ht="10.199999999999999">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c r="AC527" s="46"/>
      <c r="AD527" s="46"/>
      <c r="AE527" s="46"/>
      <c r="AF527" s="46"/>
    </row>
    <row r="528" spans="1:32" ht="10.199999999999999">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c r="AC528" s="46"/>
      <c r="AD528" s="46"/>
      <c r="AE528" s="46"/>
      <c r="AF528" s="46"/>
    </row>
    <row r="529" spans="1:32" ht="10.199999999999999">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c r="AC529" s="46"/>
      <c r="AD529" s="46"/>
      <c r="AE529" s="46"/>
      <c r="AF529" s="46"/>
    </row>
    <row r="530" spans="1:32" ht="10.199999999999999">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c r="AC530" s="46"/>
      <c r="AD530" s="46"/>
      <c r="AE530" s="46"/>
      <c r="AF530" s="46"/>
    </row>
    <row r="531" spans="1:32" ht="10.199999999999999">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c r="AC531" s="46"/>
      <c r="AD531" s="46"/>
      <c r="AE531" s="46"/>
      <c r="AF531" s="46"/>
    </row>
    <row r="532" spans="1:32" ht="10.199999999999999">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c r="AC532" s="46"/>
      <c r="AD532" s="46"/>
      <c r="AE532" s="46"/>
      <c r="AF532" s="46"/>
    </row>
    <row r="533" spans="1:32" ht="10.199999999999999">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c r="AC533" s="46"/>
      <c r="AD533" s="46"/>
      <c r="AE533" s="46"/>
      <c r="AF533" s="46"/>
    </row>
    <row r="534" spans="1:32" ht="10.199999999999999">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c r="AC534" s="46"/>
      <c r="AD534" s="46"/>
      <c r="AE534" s="46"/>
      <c r="AF534" s="46"/>
    </row>
    <row r="535" spans="1:32" ht="10.199999999999999">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c r="AC535" s="46"/>
      <c r="AD535" s="46"/>
      <c r="AE535" s="46"/>
      <c r="AF535" s="46"/>
    </row>
    <row r="536" spans="1:32" ht="10.199999999999999">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c r="AC536" s="46"/>
      <c r="AD536" s="46"/>
      <c r="AE536" s="46"/>
      <c r="AF536" s="46"/>
    </row>
    <row r="537" spans="1:32" ht="10.199999999999999">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c r="AC537" s="46"/>
      <c r="AD537" s="46"/>
      <c r="AE537" s="46"/>
      <c r="AF537" s="46"/>
    </row>
    <row r="538" spans="1:32" ht="10.199999999999999">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c r="AC538" s="46"/>
      <c r="AD538" s="46"/>
      <c r="AE538" s="46"/>
      <c r="AF538" s="46"/>
    </row>
    <row r="539" spans="1:32" ht="10.199999999999999">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c r="AC539" s="46"/>
      <c r="AD539" s="46"/>
      <c r="AE539" s="46"/>
      <c r="AF539" s="46"/>
    </row>
    <row r="540" spans="1:32" ht="10.199999999999999">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c r="AC540" s="46"/>
      <c r="AD540" s="46"/>
      <c r="AE540" s="46"/>
      <c r="AF540" s="46"/>
    </row>
    <row r="541" spans="1:32" ht="10.199999999999999">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c r="AC541" s="46"/>
      <c r="AD541" s="46"/>
      <c r="AE541" s="46"/>
      <c r="AF541" s="46"/>
    </row>
    <row r="542" spans="1:32" ht="10.199999999999999">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c r="AC542" s="46"/>
      <c r="AD542" s="46"/>
      <c r="AE542" s="46"/>
      <c r="AF542" s="46"/>
    </row>
    <row r="543" spans="1:32" ht="10.199999999999999">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c r="AC543" s="46"/>
      <c r="AD543" s="46"/>
      <c r="AE543" s="46"/>
      <c r="AF543" s="46"/>
    </row>
    <row r="544" spans="1:32" ht="10.199999999999999">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c r="AC544" s="46"/>
      <c r="AD544" s="46"/>
      <c r="AE544" s="46"/>
      <c r="AF544" s="46"/>
    </row>
    <row r="545" spans="1:32" ht="10.199999999999999">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c r="AC545" s="46"/>
      <c r="AD545" s="46"/>
      <c r="AE545" s="46"/>
      <c r="AF545" s="46"/>
    </row>
    <row r="546" spans="1:32" ht="10.199999999999999">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c r="AC546" s="46"/>
      <c r="AD546" s="46"/>
      <c r="AE546" s="46"/>
      <c r="AF546" s="46"/>
    </row>
    <row r="547" spans="1:32" ht="10.199999999999999">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c r="AC547" s="46"/>
      <c r="AD547" s="46"/>
      <c r="AE547" s="46"/>
      <c r="AF547" s="46"/>
    </row>
    <row r="548" spans="1:32" ht="10.199999999999999">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c r="AC548" s="46"/>
      <c r="AD548" s="46"/>
      <c r="AE548" s="46"/>
      <c r="AF548" s="46"/>
    </row>
    <row r="549" spans="1:32" ht="10.199999999999999">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c r="AC549" s="46"/>
      <c r="AD549" s="46"/>
      <c r="AE549" s="46"/>
      <c r="AF549" s="46"/>
    </row>
    <row r="550" spans="1:32" ht="10.199999999999999">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c r="AC550" s="46"/>
      <c r="AD550" s="46"/>
      <c r="AE550" s="46"/>
      <c r="AF550" s="46"/>
    </row>
    <row r="551" spans="1:32" ht="10.199999999999999">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c r="AC551" s="46"/>
      <c r="AD551" s="46"/>
      <c r="AE551" s="46"/>
      <c r="AF551" s="46"/>
    </row>
    <row r="552" spans="1:32" ht="10.199999999999999">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c r="AC552" s="46"/>
      <c r="AD552" s="46"/>
      <c r="AE552" s="46"/>
      <c r="AF552" s="46"/>
    </row>
    <row r="553" spans="1:32" ht="10.199999999999999">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c r="AC553" s="46"/>
      <c r="AD553" s="46"/>
      <c r="AE553" s="46"/>
      <c r="AF553" s="46"/>
    </row>
    <row r="554" spans="1:32" ht="10.199999999999999">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c r="AC554" s="46"/>
      <c r="AD554" s="46"/>
      <c r="AE554" s="46"/>
      <c r="AF554" s="46"/>
    </row>
    <row r="555" spans="1:32" ht="10.199999999999999">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c r="AC555" s="46"/>
      <c r="AD555" s="46"/>
      <c r="AE555" s="46"/>
      <c r="AF555" s="46"/>
    </row>
    <row r="556" spans="1:32" ht="10.199999999999999">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c r="AC556" s="46"/>
      <c r="AD556" s="46"/>
      <c r="AE556" s="46"/>
      <c r="AF556" s="46"/>
    </row>
    <row r="557" spans="1:32" ht="10.199999999999999">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c r="AC557" s="46"/>
      <c r="AD557" s="46"/>
      <c r="AE557" s="46"/>
      <c r="AF557" s="46"/>
    </row>
    <row r="558" spans="1:32" ht="10.199999999999999">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c r="AC558" s="46"/>
      <c r="AD558" s="46"/>
      <c r="AE558" s="46"/>
      <c r="AF558" s="46"/>
    </row>
    <row r="559" spans="1:32" ht="10.199999999999999">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c r="AC559" s="46"/>
      <c r="AD559" s="46"/>
      <c r="AE559" s="46"/>
      <c r="AF559" s="46"/>
    </row>
    <row r="560" spans="1:32" ht="10.199999999999999">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c r="AC560" s="46"/>
      <c r="AD560" s="46"/>
      <c r="AE560" s="46"/>
      <c r="AF560" s="46"/>
    </row>
    <row r="561" spans="1:32" ht="10.199999999999999">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c r="AC561" s="46"/>
      <c r="AD561" s="46"/>
      <c r="AE561" s="46"/>
      <c r="AF561" s="46"/>
    </row>
    <row r="562" spans="1:32" ht="10.199999999999999">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c r="AC562" s="46"/>
      <c r="AD562" s="46"/>
      <c r="AE562" s="46"/>
      <c r="AF562" s="46"/>
    </row>
    <row r="563" spans="1:32" ht="10.199999999999999">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c r="AC563" s="46"/>
      <c r="AD563" s="46"/>
      <c r="AE563" s="46"/>
      <c r="AF563" s="46"/>
    </row>
    <row r="564" spans="1:32" ht="10.199999999999999">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c r="AC564" s="46"/>
      <c r="AD564" s="46"/>
      <c r="AE564" s="46"/>
      <c r="AF564" s="46"/>
    </row>
    <row r="565" spans="1:32" ht="10.199999999999999">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c r="AC565" s="46"/>
      <c r="AD565" s="46"/>
      <c r="AE565" s="46"/>
      <c r="AF565" s="46"/>
    </row>
    <row r="566" spans="1:32" ht="10.199999999999999">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c r="AC566" s="46"/>
      <c r="AD566" s="46"/>
      <c r="AE566" s="46"/>
      <c r="AF566" s="46"/>
    </row>
    <row r="567" spans="1:32" ht="10.199999999999999">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c r="AC567" s="46"/>
      <c r="AD567" s="46"/>
      <c r="AE567" s="46"/>
      <c r="AF567" s="46"/>
    </row>
    <row r="568" spans="1:32" ht="10.199999999999999">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c r="AC568" s="46"/>
      <c r="AD568" s="46"/>
      <c r="AE568" s="46"/>
      <c r="AF568" s="46"/>
    </row>
    <row r="569" spans="1:32" ht="10.199999999999999">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c r="AC569" s="46"/>
      <c r="AD569" s="46"/>
      <c r="AE569" s="46"/>
      <c r="AF569" s="46"/>
    </row>
    <row r="570" spans="1:32" ht="10.199999999999999">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c r="AC570" s="46"/>
      <c r="AD570" s="46"/>
      <c r="AE570" s="46"/>
      <c r="AF570" s="46"/>
    </row>
    <row r="571" spans="1:32" ht="10.199999999999999">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c r="AC571" s="46"/>
      <c r="AD571" s="46"/>
      <c r="AE571" s="46"/>
      <c r="AF571" s="46"/>
    </row>
    <row r="572" spans="1:32" ht="10.199999999999999">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c r="AC572" s="46"/>
      <c r="AD572" s="46"/>
      <c r="AE572" s="46"/>
      <c r="AF572" s="46"/>
    </row>
    <row r="573" spans="1:32" ht="10.199999999999999">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c r="AC573" s="46"/>
      <c r="AD573" s="46"/>
      <c r="AE573" s="46"/>
      <c r="AF573" s="46"/>
    </row>
    <row r="574" spans="1:32" ht="10.199999999999999">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c r="AC574" s="46"/>
      <c r="AD574" s="46"/>
      <c r="AE574" s="46"/>
      <c r="AF574" s="46"/>
    </row>
    <row r="575" spans="1:32" ht="10.199999999999999">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c r="AC575" s="46"/>
      <c r="AD575" s="46"/>
      <c r="AE575" s="46"/>
      <c r="AF575" s="46"/>
    </row>
    <row r="576" spans="1:32" ht="10.199999999999999">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c r="AC576" s="46"/>
      <c r="AD576" s="46"/>
      <c r="AE576" s="46"/>
      <c r="AF576" s="46"/>
    </row>
    <row r="577" spans="1:32" ht="10.199999999999999">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c r="AC577" s="46"/>
      <c r="AD577" s="46"/>
      <c r="AE577" s="46"/>
      <c r="AF577" s="46"/>
    </row>
    <row r="578" spans="1:32" ht="10.199999999999999">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c r="AC578" s="46"/>
      <c r="AD578" s="46"/>
      <c r="AE578" s="46"/>
      <c r="AF578" s="46"/>
    </row>
    <row r="579" spans="1:32" ht="10.199999999999999">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c r="AC579" s="46"/>
      <c r="AD579" s="46"/>
      <c r="AE579" s="46"/>
      <c r="AF579" s="46"/>
    </row>
    <row r="580" spans="1:32" ht="10.199999999999999">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c r="AC580" s="46"/>
      <c r="AD580" s="46"/>
      <c r="AE580" s="46"/>
      <c r="AF580" s="46"/>
    </row>
    <row r="581" spans="1:32" ht="10.199999999999999">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c r="AC581" s="46"/>
      <c r="AD581" s="46"/>
      <c r="AE581" s="46"/>
      <c r="AF581" s="46"/>
    </row>
    <row r="582" spans="1:32" ht="10.199999999999999">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c r="AC582" s="46"/>
      <c r="AD582" s="46"/>
      <c r="AE582" s="46"/>
      <c r="AF582" s="46"/>
    </row>
    <row r="583" spans="1:32" ht="10.199999999999999">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c r="AC583" s="46"/>
      <c r="AD583" s="46"/>
      <c r="AE583" s="46"/>
      <c r="AF583" s="46"/>
    </row>
    <row r="584" spans="1:32" ht="10.199999999999999">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c r="AC584" s="46"/>
      <c r="AD584" s="46"/>
      <c r="AE584" s="46"/>
      <c r="AF584" s="46"/>
    </row>
    <row r="585" spans="1:32" ht="10.199999999999999">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c r="AC585" s="46"/>
      <c r="AD585" s="46"/>
      <c r="AE585" s="46"/>
      <c r="AF585" s="46"/>
    </row>
    <row r="586" spans="1:32" ht="10.199999999999999">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c r="AC586" s="46"/>
      <c r="AD586" s="46"/>
      <c r="AE586" s="46"/>
      <c r="AF586" s="46"/>
    </row>
    <row r="587" spans="1:32" ht="10.199999999999999">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c r="AC587" s="46"/>
      <c r="AD587" s="46"/>
      <c r="AE587" s="46"/>
      <c r="AF587" s="46"/>
    </row>
    <row r="588" spans="1:32" ht="10.199999999999999">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c r="AC588" s="46"/>
      <c r="AD588" s="46"/>
      <c r="AE588" s="46"/>
      <c r="AF588" s="46"/>
    </row>
    <row r="589" spans="1:32" ht="10.199999999999999">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c r="AC589" s="46"/>
      <c r="AD589" s="46"/>
      <c r="AE589" s="46"/>
      <c r="AF589" s="46"/>
    </row>
    <row r="590" spans="1:32" ht="10.199999999999999">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c r="AC590" s="46"/>
      <c r="AD590" s="46"/>
      <c r="AE590" s="46"/>
      <c r="AF590" s="46"/>
    </row>
    <row r="591" spans="1:32" ht="10.199999999999999">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c r="AC591" s="46"/>
      <c r="AD591" s="46"/>
      <c r="AE591" s="46"/>
      <c r="AF591" s="46"/>
    </row>
    <row r="592" spans="1:32" ht="10.199999999999999">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c r="AC592" s="46"/>
      <c r="AD592" s="46"/>
      <c r="AE592" s="46"/>
      <c r="AF592" s="46"/>
    </row>
    <row r="593" spans="1:32" ht="10.199999999999999">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c r="AC593" s="46"/>
      <c r="AD593" s="46"/>
      <c r="AE593" s="46"/>
      <c r="AF593" s="46"/>
    </row>
    <row r="594" spans="1:32" ht="10.199999999999999">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c r="AC594" s="46"/>
      <c r="AD594" s="46"/>
      <c r="AE594" s="46"/>
      <c r="AF594" s="46"/>
    </row>
    <row r="595" spans="1:32" ht="10.199999999999999">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c r="AC595" s="46"/>
      <c r="AD595" s="46"/>
      <c r="AE595" s="46"/>
      <c r="AF595" s="46"/>
    </row>
    <row r="596" spans="1:32" ht="10.199999999999999">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c r="AC596" s="46"/>
      <c r="AD596" s="46"/>
      <c r="AE596" s="46"/>
      <c r="AF596" s="46"/>
    </row>
    <row r="597" spans="1:32" ht="10.199999999999999">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c r="AC597" s="46"/>
      <c r="AD597" s="46"/>
      <c r="AE597" s="46"/>
      <c r="AF597" s="46"/>
    </row>
    <row r="598" spans="1:32" ht="10.199999999999999">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c r="AC598" s="46"/>
      <c r="AD598" s="46"/>
      <c r="AE598" s="46"/>
      <c r="AF598" s="46"/>
    </row>
    <row r="599" spans="1:32" ht="10.199999999999999">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c r="AC599" s="46"/>
      <c r="AD599" s="46"/>
      <c r="AE599" s="46"/>
      <c r="AF599" s="46"/>
    </row>
    <row r="600" spans="1:32" ht="10.199999999999999">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c r="AC600" s="46"/>
      <c r="AD600" s="46"/>
      <c r="AE600" s="46"/>
      <c r="AF600" s="46"/>
    </row>
    <row r="601" spans="1:32" ht="10.199999999999999">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c r="AC601" s="46"/>
      <c r="AD601" s="46"/>
      <c r="AE601" s="46"/>
      <c r="AF601" s="46"/>
    </row>
    <row r="602" spans="1:32" ht="10.199999999999999">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c r="AC602" s="46"/>
      <c r="AD602" s="46"/>
      <c r="AE602" s="46"/>
      <c r="AF602" s="46"/>
    </row>
    <row r="603" spans="1:32" ht="10.199999999999999">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c r="AC603" s="46"/>
      <c r="AD603" s="46"/>
      <c r="AE603" s="46"/>
      <c r="AF603" s="46"/>
    </row>
    <row r="604" spans="1:32" ht="10.199999999999999">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c r="AC604" s="46"/>
      <c r="AD604" s="46"/>
      <c r="AE604" s="46"/>
      <c r="AF604" s="46"/>
    </row>
    <row r="605" spans="1:32" ht="10.199999999999999">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c r="AC605" s="46"/>
      <c r="AD605" s="46"/>
      <c r="AE605" s="46"/>
      <c r="AF605" s="46"/>
    </row>
    <row r="606" spans="1:32" ht="10.199999999999999">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c r="AC606" s="46"/>
      <c r="AD606" s="46"/>
      <c r="AE606" s="46"/>
      <c r="AF606" s="46"/>
    </row>
    <row r="607" spans="1:32" ht="10.199999999999999">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c r="AC607" s="46"/>
      <c r="AD607" s="46"/>
      <c r="AE607" s="46"/>
      <c r="AF607" s="46"/>
    </row>
    <row r="608" spans="1:32" ht="10.199999999999999">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c r="AC608" s="46"/>
      <c r="AD608" s="46"/>
      <c r="AE608" s="46"/>
      <c r="AF608" s="46"/>
    </row>
    <row r="609" spans="1:32" ht="10.199999999999999">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c r="AC609" s="46"/>
      <c r="AD609" s="46"/>
      <c r="AE609" s="46"/>
      <c r="AF609" s="46"/>
    </row>
    <row r="610" spans="1:32" ht="10.199999999999999">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c r="AC610" s="46"/>
      <c r="AD610" s="46"/>
      <c r="AE610" s="46"/>
      <c r="AF610" s="46"/>
    </row>
    <row r="611" spans="1:32" ht="10.199999999999999">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c r="AC611" s="46"/>
      <c r="AD611" s="46"/>
      <c r="AE611" s="46"/>
      <c r="AF611" s="46"/>
    </row>
    <row r="612" spans="1:32" ht="10.199999999999999">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c r="AC612" s="46"/>
      <c r="AD612" s="46"/>
      <c r="AE612" s="46"/>
      <c r="AF612" s="46"/>
    </row>
    <row r="613" spans="1:32" ht="10.199999999999999">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c r="AC613" s="46"/>
      <c r="AD613" s="46"/>
      <c r="AE613" s="46"/>
      <c r="AF613" s="46"/>
    </row>
    <row r="614" spans="1:32" ht="10.199999999999999">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c r="AB614" s="46"/>
      <c r="AC614" s="46"/>
      <c r="AD614" s="46"/>
      <c r="AE614" s="46"/>
      <c r="AF614" s="46"/>
    </row>
    <row r="615" spans="1:32" ht="10.199999999999999">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c r="AB615" s="46"/>
      <c r="AC615" s="46"/>
      <c r="AD615" s="46"/>
      <c r="AE615" s="46"/>
      <c r="AF615" s="46"/>
    </row>
    <row r="616" spans="1:32" ht="10.199999999999999">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c r="AB616" s="46"/>
      <c r="AC616" s="46"/>
      <c r="AD616" s="46"/>
      <c r="AE616" s="46"/>
      <c r="AF616" s="46"/>
    </row>
    <row r="617" spans="1:32" ht="10.199999999999999">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c r="AC617" s="46"/>
      <c r="AD617" s="46"/>
      <c r="AE617" s="46"/>
      <c r="AF617" s="46"/>
    </row>
    <row r="618" spans="1:32" ht="10.199999999999999">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c r="AC618" s="46"/>
      <c r="AD618" s="46"/>
      <c r="AE618" s="46"/>
      <c r="AF618" s="46"/>
    </row>
    <row r="619" spans="1:32" ht="10.199999999999999">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c r="AC619" s="46"/>
      <c r="AD619" s="46"/>
      <c r="AE619" s="46"/>
      <c r="AF619" s="46"/>
    </row>
    <row r="620" spans="1:32" ht="10.199999999999999">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c r="AC620" s="46"/>
      <c r="AD620" s="46"/>
      <c r="AE620" s="46"/>
      <c r="AF620" s="46"/>
    </row>
    <row r="621" spans="1:32" ht="10.199999999999999">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c r="AC621" s="46"/>
      <c r="AD621" s="46"/>
      <c r="AE621" s="46"/>
      <c r="AF621" s="46"/>
    </row>
    <row r="622" spans="1:32" ht="10.199999999999999">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c r="AC622" s="46"/>
      <c r="AD622" s="46"/>
      <c r="AE622" s="46"/>
      <c r="AF622" s="46"/>
    </row>
    <row r="623" spans="1:32" ht="10.199999999999999">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c r="AC623" s="46"/>
      <c r="AD623" s="46"/>
      <c r="AE623" s="46"/>
      <c r="AF623" s="46"/>
    </row>
    <row r="624" spans="1:32" ht="10.199999999999999">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c r="AC624" s="46"/>
      <c r="AD624" s="46"/>
      <c r="AE624" s="46"/>
      <c r="AF624" s="46"/>
    </row>
    <row r="625" spans="1:32" ht="10.199999999999999">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c r="AC625" s="46"/>
      <c r="AD625" s="46"/>
      <c r="AE625" s="46"/>
      <c r="AF625" s="46"/>
    </row>
    <row r="626" spans="1:32" ht="10.199999999999999">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c r="AC626" s="46"/>
      <c r="AD626" s="46"/>
      <c r="AE626" s="46"/>
      <c r="AF626" s="46"/>
    </row>
    <row r="627" spans="1:32" ht="10.199999999999999">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c r="AC627" s="46"/>
      <c r="AD627" s="46"/>
      <c r="AE627" s="46"/>
      <c r="AF627" s="46"/>
    </row>
    <row r="628" spans="1:32" ht="10.199999999999999">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c r="AC628" s="46"/>
      <c r="AD628" s="46"/>
      <c r="AE628" s="46"/>
      <c r="AF628" s="46"/>
    </row>
    <row r="629" spans="1:32" ht="10.199999999999999">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c r="AC629" s="46"/>
      <c r="AD629" s="46"/>
      <c r="AE629" s="46"/>
      <c r="AF629" s="46"/>
    </row>
    <row r="630" spans="1:32" ht="10.199999999999999">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c r="AC630" s="46"/>
      <c r="AD630" s="46"/>
      <c r="AE630" s="46"/>
      <c r="AF630" s="46"/>
    </row>
    <row r="631" spans="1:32" ht="10.199999999999999">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c r="AC631" s="46"/>
      <c r="AD631" s="46"/>
      <c r="AE631" s="46"/>
      <c r="AF631" s="46"/>
    </row>
    <row r="632" spans="1:32" ht="10.199999999999999">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c r="AC632" s="46"/>
      <c r="AD632" s="46"/>
      <c r="AE632" s="46"/>
      <c r="AF632" s="46"/>
    </row>
    <row r="633" spans="1:32" ht="10.199999999999999">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c r="AC633" s="46"/>
      <c r="AD633" s="46"/>
      <c r="AE633" s="46"/>
      <c r="AF633" s="46"/>
    </row>
    <row r="634" spans="1:32" ht="10.199999999999999">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c r="AC634" s="46"/>
      <c r="AD634" s="46"/>
      <c r="AE634" s="46"/>
      <c r="AF634" s="46"/>
    </row>
    <row r="635" spans="1:32" ht="10.199999999999999">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c r="AC635" s="46"/>
      <c r="AD635" s="46"/>
      <c r="AE635" s="46"/>
      <c r="AF635" s="46"/>
    </row>
    <row r="636" spans="1:32" ht="10.199999999999999">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c r="AC636" s="46"/>
      <c r="AD636" s="46"/>
      <c r="AE636" s="46"/>
      <c r="AF636" s="46"/>
    </row>
    <row r="637" spans="1:32" ht="10.199999999999999">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c r="AC637" s="46"/>
      <c r="AD637" s="46"/>
      <c r="AE637" s="46"/>
      <c r="AF637" s="46"/>
    </row>
    <row r="638" spans="1:32" ht="10.199999999999999">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c r="AC638" s="46"/>
      <c r="AD638" s="46"/>
      <c r="AE638" s="46"/>
      <c r="AF638" s="46"/>
    </row>
    <row r="639" spans="1:32" ht="10.199999999999999">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c r="AC639" s="46"/>
      <c r="AD639" s="46"/>
      <c r="AE639" s="46"/>
      <c r="AF639" s="46"/>
    </row>
    <row r="640" spans="1:32" ht="10.199999999999999">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c r="AC640" s="46"/>
      <c r="AD640" s="46"/>
      <c r="AE640" s="46"/>
      <c r="AF640" s="46"/>
    </row>
    <row r="641" spans="1:32" ht="10.199999999999999">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c r="AC641" s="46"/>
      <c r="AD641" s="46"/>
      <c r="AE641" s="46"/>
      <c r="AF641" s="46"/>
    </row>
    <row r="642" spans="1:32" ht="10.199999999999999">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c r="AC642" s="46"/>
      <c r="AD642" s="46"/>
      <c r="AE642" s="46"/>
      <c r="AF642" s="46"/>
    </row>
    <row r="643" spans="1:32" ht="10.199999999999999">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c r="AC643" s="46"/>
      <c r="AD643" s="46"/>
      <c r="AE643" s="46"/>
      <c r="AF643" s="46"/>
    </row>
    <row r="644" spans="1:32" ht="10.199999999999999">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c r="AB644" s="46"/>
      <c r="AC644" s="46"/>
      <c r="AD644" s="46"/>
      <c r="AE644" s="46"/>
      <c r="AF644" s="46"/>
    </row>
    <row r="645" spans="1:32" ht="10.199999999999999">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c r="AB645" s="46"/>
      <c r="AC645" s="46"/>
      <c r="AD645" s="46"/>
      <c r="AE645" s="46"/>
      <c r="AF645" s="46"/>
    </row>
    <row r="646" spans="1:32" ht="10.199999999999999">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c r="AB646" s="46"/>
      <c r="AC646" s="46"/>
      <c r="AD646" s="46"/>
      <c r="AE646" s="46"/>
      <c r="AF646" s="46"/>
    </row>
    <row r="647" spans="1:32" ht="10.199999999999999">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c r="AB647" s="46"/>
      <c r="AC647" s="46"/>
      <c r="AD647" s="46"/>
      <c r="AE647" s="46"/>
      <c r="AF647" s="46"/>
    </row>
    <row r="648" spans="1:32" ht="10.199999999999999">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c r="AB648" s="46"/>
      <c r="AC648" s="46"/>
      <c r="AD648" s="46"/>
      <c r="AE648" s="46"/>
      <c r="AF648" s="46"/>
    </row>
    <row r="649" spans="1:32" ht="10.199999999999999">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c r="AB649" s="46"/>
      <c r="AC649" s="46"/>
      <c r="AD649" s="46"/>
      <c r="AE649" s="46"/>
      <c r="AF649" s="46"/>
    </row>
    <row r="650" spans="1:32" ht="10.199999999999999">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c r="AA650" s="46"/>
      <c r="AB650" s="46"/>
      <c r="AC650" s="46"/>
      <c r="AD650" s="46"/>
      <c r="AE650" s="46"/>
      <c r="AF650" s="46"/>
    </row>
    <row r="651" spans="1:32" ht="10.199999999999999">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c r="AA651" s="46"/>
      <c r="AB651" s="46"/>
      <c r="AC651" s="46"/>
      <c r="AD651" s="46"/>
      <c r="AE651" s="46"/>
      <c r="AF651" s="46"/>
    </row>
    <row r="652" spans="1:32" ht="10.199999999999999">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c r="AA652" s="46"/>
      <c r="AB652" s="46"/>
      <c r="AC652" s="46"/>
      <c r="AD652" s="46"/>
      <c r="AE652" s="46"/>
      <c r="AF652" s="46"/>
    </row>
    <row r="653" spans="1:32" ht="10.199999999999999">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c r="AA653" s="46"/>
      <c r="AB653" s="46"/>
      <c r="AC653" s="46"/>
      <c r="AD653" s="46"/>
      <c r="AE653" s="46"/>
      <c r="AF653" s="46"/>
    </row>
    <row r="654" spans="1:32" ht="10.199999999999999">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c r="AA654" s="46"/>
      <c r="AB654" s="46"/>
      <c r="AC654" s="46"/>
      <c r="AD654" s="46"/>
      <c r="AE654" s="46"/>
      <c r="AF654" s="46"/>
    </row>
    <row r="655" spans="1:32" ht="10.199999999999999">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46"/>
      <c r="AB655" s="46"/>
      <c r="AC655" s="46"/>
      <c r="AD655" s="46"/>
      <c r="AE655" s="46"/>
      <c r="AF655" s="46"/>
    </row>
    <row r="656" spans="1:32" ht="10.199999999999999">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c r="AA656" s="46"/>
      <c r="AB656" s="46"/>
      <c r="AC656" s="46"/>
      <c r="AD656" s="46"/>
      <c r="AE656" s="46"/>
      <c r="AF656" s="46"/>
    </row>
    <row r="657" spans="1:32" ht="10.199999999999999">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46"/>
      <c r="AB657" s="46"/>
      <c r="AC657" s="46"/>
      <c r="AD657" s="46"/>
      <c r="AE657" s="46"/>
      <c r="AF657" s="46"/>
    </row>
    <row r="658" spans="1:32" ht="10.199999999999999">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c r="AA658" s="46"/>
      <c r="AB658" s="46"/>
      <c r="AC658" s="46"/>
      <c r="AD658" s="46"/>
      <c r="AE658" s="46"/>
      <c r="AF658" s="46"/>
    </row>
    <row r="659" spans="1:32" ht="10.199999999999999">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c r="AA659" s="46"/>
      <c r="AB659" s="46"/>
      <c r="AC659" s="46"/>
      <c r="AD659" s="46"/>
      <c r="AE659" s="46"/>
      <c r="AF659" s="46"/>
    </row>
    <row r="660" spans="1:32" ht="10.199999999999999">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c r="AA660" s="46"/>
      <c r="AB660" s="46"/>
      <c r="AC660" s="46"/>
      <c r="AD660" s="46"/>
      <c r="AE660" s="46"/>
      <c r="AF660" s="46"/>
    </row>
    <row r="661" spans="1:32" ht="10.199999999999999">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c r="AA661" s="46"/>
      <c r="AB661" s="46"/>
      <c r="AC661" s="46"/>
      <c r="AD661" s="46"/>
      <c r="AE661" s="46"/>
      <c r="AF661" s="46"/>
    </row>
    <row r="662" spans="1:32" ht="10.199999999999999">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c r="AA662" s="46"/>
      <c r="AB662" s="46"/>
      <c r="AC662" s="46"/>
      <c r="AD662" s="46"/>
      <c r="AE662" s="46"/>
      <c r="AF662" s="46"/>
    </row>
    <row r="663" spans="1:32" ht="10.199999999999999">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c r="AA663" s="46"/>
      <c r="AB663" s="46"/>
      <c r="AC663" s="46"/>
      <c r="AD663" s="46"/>
      <c r="AE663" s="46"/>
      <c r="AF663" s="46"/>
    </row>
    <row r="664" spans="1:32" ht="10.199999999999999">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c r="AA664" s="46"/>
      <c r="AB664" s="46"/>
      <c r="AC664" s="46"/>
      <c r="AD664" s="46"/>
      <c r="AE664" s="46"/>
      <c r="AF664" s="46"/>
    </row>
    <row r="665" spans="1:32" ht="10.199999999999999">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c r="AA665" s="46"/>
      <c r="AB665" s="46"/>
      <c r="AC665" s="46"/>
      <c r="AD665" s="46"/>
      <c r="AE665" s="46"/>
      <c r="AF665" s="46"/>
    </row>
    <row r="666" spans="1:32" ht="10.199999999999999">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c r="AA666" s="46"/>
      <c r="AB666" s="46"/>
      <c r="AC666" s="46"/>
      <c r="AD666" s="46"/>
      <c r="AE666" s="46"/>
      <c r="AF666" s="46"/>
    </row>
    <row r="667" spans="1:32" ht="10.199999999999999">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c r="AA667" s="46"/>
      <c r="AB667" s="46"/>
      <c r="AC667" s="46"/>
      <c r="AD667" s="46"/>
      <c r="AE667" s="46"/>
      <c r="AF667" s="46"/>
    </row>
    <row r="668" spans="1:32" ht="10.199999999999999">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c r="AA668" s="46"/>
      <c r="AB668" s="46"/>
      <c r="AC668" s="46"/>
      <c r="AD668" s="46"/>
      <c r="AE668" s="46"/>
      <c r="AF668" s="46"/>
    </row>
    <row r="669" spans="1:32" ht="10.199999999999999">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c r="AA669" s="46"/>
      <c r="AB669" s="46"/>
      <c r="AC669" s="46"/>
      <c r="AD669" s="46"/>
      <c r="AE669" s="46"/>
      <c r="AF669" s="46"/>
    </row>
    <row r="670" spans="1:32" ht="10.199999999999999">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c r="AA670" s="46"/>
      <c r="AB670" s="46"/>
      <c r="AC670" s="46"/>
      <c r="AD670" s="46"/>
      <c r="AE670" s="46"/>
      <c r="AF670" s="46"/>
    </row>
    <row r="671" spans="1:32" ht="10.199999999999999">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c r="AA671" s="46"/>
      <c r="AB671" s="46"/>
      <c r="AC671" s="46"/>
      <c r="AD671" s="46"/>
      <c r="AE671" s="46"/>
      <c r="AF671" s="46"/>
    </row>
    <row r="672" spans="1:32" ht="10.199999999999999">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c r="AA672" s="46"/>
      <c r="AB672" s="46"/>
      <c r="AC672" s="46"/>
      <c r="AD672" s="46"/>
      <c r="AE672" s="46"/>
      <c r="AF672" s="46"/>
    </row>
    <row r="673" spans="1:32" ht="10.199999999999999">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c r="AA673" s="46"/>
      <c r="AB673" s="46"/>
      <c r="AC673" s="46"/>
      <c r="AD673" s="46"/>
      <c r="AE673" s="46"/>
      <c r="AF673" s="46"/>
    </row>
    <row r="674" spans="1:32" ht="10.199999999999999">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c r="AA674" s="46"/>
      <c r="AB674" s="46"/>
      <c r="AC674" s="46"/>
      <c r="AD674" s="46"/>
      <c r="AE674" s="46"/>
      <c r="AF674" s="46"/>
    </row>
    <row r="675" spans="1:32" ht="10.199999999999999">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c r="AA675" s="46"/>
      <c r="AB675" s="46"/>
      <c r="AC675" s="46"/>
      <c r="AD675" s="46"/>
      <c r="AE675" s="46"/>
      <c r="AF675" s="46"/>
    </row>
    <row r="676" spans="1:32" ht="10.199999999999999">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c r="AA676" s="46"/>
      <c r="AB676" s="46"/>
      <c r="AC676" s="46"/>
      <c r="AD676" s="46"/>
      <c r="AE676" s="46"/>
      <c r="AF676" s="46"/>
    </row>
    <row r="677" spans="1:32" ht="10.199999999999999">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c r="AA677" s="46"/>
      <c r="AB677" s="46"/>
      <c r="AC677" s="46"/>
      <c r="AD677" s="46"/>
      <c r="AE677" s="46"/>
      <c r="AF677" s="46"/>
    </row>
    <row r="678" spans="1:32" ht="10.199999999999999">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c r="AA678" s="46"/>
      <c r="AB678" s="46"/>
      <c r="AC678" s="46"/>
      <c r="AD678" s="46"/>
      <c r="AE678" s="46"/>
      <c r="AF678" s="46"/>
    </row>
    <row r="679" spans="1:32" ht="10.199999999999999">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c r="AA679" s="46"/>
      <c r="AB679" s="46"/>
      <c r="AC679" s="46"/>
      <c r="AD679" s="46"/>
      <c r="AE679" s="46"/>
      <c r="AF679" s="46"/>
    </row>
    <row r="680" spans="1:32" ht="10.199999999999999">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c r="AA680" s="46"/>
      <c r="AB680" s="46"/>
      <c r="AC680" s="46"/>
      <c r="AD680" s="46"/>
      <c r="AE680" s="46"/>
      <c r="AF680" s="46"/>
    </row>
    <row r="681" spans="1:32" ht="10.199999999999999">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c r="AA681" s="46"/>
      <c r="AB681" s="46"/>
      <c r="AC681" s="46"/>
      <c r="AD681" s="46"/>
      <c r="AE681" s="46"/>
      <c r="AF681" s="46"/>
    </row>
    <row r="682" spans="1:32" ht="10.199999999999999">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c r="AA682" s="46"/>
      <c r="AB682" s="46"/>
      <c r="AC682" s="46"/>
      <c r="AD682" s="46"/>
      <c r="AE682" s="46"/>
      <c r="AF682" s="46"/>
    </row>
    <row r="683" spans="1:32" ht="10.199999999999999">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c r="AA683" s="46"/>
      <c r="AB683" s="46"/>
      <c r="AC683" s="46"/>
      <c r="AD683" s="46"/>
      <c r="AE683" s="46"/>
      <c r="AF683" s="46"/>
    </row>
    <row r="684" spans="1:32" ht="10.199999999999999">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c r="AA684" s="46"/>
      <c r="AB684" s="46"/>
      <c r="AC684" s="46"/>
      <c r="AD684" s="46"/>
      <c r="AE684" s="46"/>
      <c r="AF684" s="46"/>
    </row>
    <row r="685" spans="1:32" ht="10.199999999999999">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c r="AA685" s="46"/>
      <c r="AB685" s="46"/>
      <c r="AC685" s="46"/>
      <c r="AD685" s="46"/>
      <c r="AE685" s="46"/>
      <c r="AF685" s="46"/>
    </row>
    <row r="686" spans="1:32" ht="10.199999999999999">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c r="AA686" s="46"/>
      <c r="AB686" s="46"/>
      <c r="AC686" s="46"/>
      <c r="AD686" s="46"/>
      <c r="AE686" s="46"/>
      <c r="AF686" s="46"/>
    </row>
    <row r="687" spans="1:32" ht="10.199999999999999">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c r="AA687" s="46"/>
      <c r="AB687" s="46"/>
      <c r="AC687" s="46"/>
      <c r="AD687" s="46"/>
      <c r="AE687" s="46"/>
      <c r="AF687" s="46"/>
    </row>
    <row r="688" spans="1:32" ht="10.199999999999999">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c r="AA688" s="46"/>
      <c r="AB688" s="46"/>
      <c r="AC688" s="46"/>
      <c r="AD688" s="46"/>
      <c r="AE688" s="46"/>
      <c r="AF688" s="46"/>
    </row>
    <row r="689" spans="1:32" ht="10.199999999999999">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c r="AA689" s="46"/>
      <c r="AB689" s="46"/>
      <c r="AC689" s="46"/>
      <c r="AD689" s="46"/>
      <c r="AE689" s="46"/>
      <c r="AF689" s="46"/>
    </row>
    <row r="690" spans="1:32" ht="10.199999999999999">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c r="AA690" s="46"/>
      <c r="AB690" s="46"/>
      <c r="AC690" s="46"/>
      <c r="AD690" s="46"/>
      <c r="AE690" s="46"/>
      <c r="AF690" s="46"/>
    </row>
    <row r="691" spans="1:32" ht="10.199999999999999">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c r="AA691" s="46"/>
      <c r="AB691" s="46"/>
      <c r="AC691" s="46"/>
      <c r="AD691" s="46"/>
      <c r="AE691" s="46"/>
      <c r="AF691" s="46"/>
    </row>
    <row r="692" spans="1:32" ht="10.199999999999999">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c r="AA692" s="46"/>
      <c r="AB692" s="46"/>
      <c r="AC692" s="46"/>
      <c r="AD692" s="46"/>
      <c r="AE692" s="46"/>
      <c r="AF692" s="46"/>
    </row>
    <row r="693" spans="1:32" ht="10.199999999999999">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c r="AA693" s="46"/>
      <c r="AB693" s="46"/>
      <c r="AC693" s="46"/>
      <c r="AD693" s="46"/>
      <c r="AE693" s="46"/>
      <c r="AF693" s="46"/>
    </row>
    <row r="694" spans="1:32" ht="10.199999999999999">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c r="AA694" s="46"/>
      <c r="AB694" s="46"/>
      <c r="AC694" s="46"/>
      <c r="AD694" s="46"/>
      <c r="AE694" s="46"/>
      <c r="AF694" s="46"/>
    </row>
    <row r="695" spans="1:32" ht="10.199999999999999">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c r="AA695" s="46"/>
      <c r="AB695" s="46"/>
      <c r="AC695" s="46"/>
      <c r="AD695" s="46"/>
      <c r="AE695" s="46"/>
      <c r="AF695" s="46"/>
    </row>
    <row r="696" spans="1:32" ht="10.199999999999999">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c r="AA696" s="46"/>
      <c r="AB696" s="46"/>
      <c r="AC696" s="46"/>
      <c r="AD696" s="46"/>
      <c r="AE696" s="46"/>
      <c r="AF696" s="46"/>
    </row>
    <row r="697" spans="1:32" ht="10.199999999999999">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c r="AA697" s="46"/>
      <c r="AB697" s="46"/>
      <c r="AC697" s="46"/>
      <c r="AD697" s="46"/>
      <c r="AE697" s="46"/>
      <c r="AF697" s="46"/>
    </row>
    <row r="698" spans="1:32" ht="10.199999999999999">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c r="AA698" s="46"/>
      <c r="AB698" s="46"/>
      <c r="AC698" s="46"/>
      <c r="AD698" s="46"/>
      <c r="AE698" s="46"/>
      <c r="AF698" s="46"/>
    </row>
    <row r="699" spans="1:32" ht="10.199999999999999">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c r="AA699" s="46"/>
      <c r="AB699" s="46"/>
      <c r="AC699" s="46"/>
      <c r="AD699" s="46"/>
      <c r="AE699" s="46"/>
      <c r="AF699" s="46"/>
    </row>
    <row r="700" spans="1:32" ht="10.199999999999999">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c r="AA700" s="46"/>
      <c r="AB700" s="46"/>
      <c r="AC700" s="46"/>
      <c r="AD700" s="46"/>
      <c r="AE700" s="46"/>
      <c r="AF700" s="46"/>
    </row>
    <row r="701" spans="1:32" ht="10.199999999999999">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c r="AA701" s="46"/>
      <c r="AB701" s="46"/>
      <c r="AC701" s="46"/>
      <c r="AD701" s="46"/>
      <c r="AE701" s="46"/>
      <c r="AF701" s="46"/>
    </row>
    <row r="702" spans="1:32" ht="10.199999999999999">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c r="AA702" s="46"/>
      <c r="AB702" s="46"/>
      <c r="AC702" s="46"/>
      <c r="AD702" s="46"/>
      <c r="AE702" s="46"/>
      <c r="AF702" s="46"/>
    </row>
    <row r="703" spans="1:32" ht="10.199999999999999">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c r="AA703" s="46"/>
      <c r="AB703" s="46"/>
      <c r="AC703" s="46"/>
      <c r="AD703" s="46"/>
      <c r="AE703" s="46"/>
      <c r="AF703" s="46"/>
    </row>
    <row r="704" spans="1:32" ht="10.199999999999999">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c r="AA704" s="46"/>
      <c r="AB704" s="46"/>
      <c r="AC704" s="46"/>
      <c r="AD704" s="46"/>
      <c r="AE704" s="46"/>
      <c r="AF704" s="46"/>
    </row>
    <row r="705" spans="1:32" ht="10.199999999999999">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c r="AA705" s="46"/>
      <c r="AB705" s="46"/>
      <c r="AC705" s="46"/>
      <c r="AD705" s="46"/>
      <c r="AE705" s="46"/>
      <c r="AF705" s="46"/>
    </row>
    <row r="706" spans="1:32" ht="10.199999999999999">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c r="AA706" s="46"/>
      <c r="AB706" s="46"/>
      <c r="AC706" s="46"/>
      <c r="AD706" s="46"/>
      <c r="AE706" s="46"/>
      <c r="AF706" s="46"/>
    </row>
    <row r="707" spans="1:32" ht="10.199999999999999">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c r="AA707" s="46"/>
      <c r="AB707" s="46"/>
      <c r="AC707" s="46"/>
      <c r="AD707" s="46"/>
      <c r="AE707" s="46"/>
      <c r="AF707" s="46"/>
    </row>
    <row r="708" spans="1:32" ht="10.199999999999999">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c r="AA708" s="46"/>
      <c r="AB708" s="46"/>
      <c r="AC708" s="46"/>
      <c r="AD708" s="46"/>
      <c r="AE708" s="46"/>
      <c r="AF708" s="46"/>
    </row>
    <row r="709" spans="1:32" ht="10.199999999999999">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c r="AA709" s="46"/>
      <c r="AB709" s="46"/>
      <c r="AC709" s="46"/>
      <c r="AD709" s="46"/>
      <c r="AE709" s="46"/>
      <c r="AF709" s="46"/>
    </row>
    <row r="710" spans="1:32" ht="10.199999999999999">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c r="AA710" s="46"/>
      <c r="AB710" s="46"/>
      <c r="AC710" s="46"/>
      <c r="AD710" s="46"/>
      <c r="AE710" s="46"/>
      <c r="AF710" s="46"/>
    </row>
    <row r="711" spans="1:32" ht="10.199999999999999">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c r="AA711" s="46"/>
      <c r="AB711" s="46"/>
      <c r="AC711" s="46"/>
      <c r="AD711" s="46"/>
      <c r="AE711" s="46"/>
      <c r="AF711" s="46"/>
    </row>
    <row r="712" spans="1:32" ht="10.199999999999999">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c r="AA712" s="46"/>
      <c r="AB712" s="46"/>
      <c r="AC712" s="46"/>
      <c r="AD712" s="46"/>
      <c r="AE712" s="46"/>
      <c r="AF712" s="46"/>
    </row>
    <row r="713" spans="1:32" ht="10.199999999999999">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c r="AA713" s="46"/>
      <c r="AB713" s="46"/>
      <c r="AC713" s="46"/>
      <c r="AD713" s="46"/>
      <c r="AE713" s="46"/>
      <c r="AF713" s="46"/>
    </row>
    <row r="714" spans="1:32" ht="10.199999999999999">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c r="AA714" s="46"/>
      <c r="AB714" s="46"/>
      <c r="AC714" s="46"/>
      <c r="AD714" s="46"/>
      <c r="AE714" s="46"/>
      <c r="AF714" s="46"/>
    </row>
    <row r="715" spans="1:32" ht="10.199999999999999">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c r="AA715" s="46"/>
      <c r="AB715" s="46"/>
      <c r="AC715" s="46"/>
      <c r="AD715" s="46"/>
      <c r="AE715" s="46"/>
      <c r="AF715" s="46"/>
    </row>
    <row r="716" spans="1:32" ht="10.199999999999999">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c r="AA716" s="46"/>
      <c r="AB716" s="46"/>
      <c r="AC716" s="46"/>
      <c r="AD716" s="46"/>
      <c r="AE716" s="46"/>
      <c r="AF716" s="46"/>
    </row>
    <row r="717" spans="1:32" ht="10.199999999999999">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c r="AA717" s="46"/>
      <c r="AB717" s="46"/>
      <c r="AC717" s="46"/>
      <c r="AD717" s="46"/>
      <c r="AE717" s="46"/>
      <c r="AF717" s="46"/>
    </row>
    <row r="718" spans="1:32" ht="10.199999999999999">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c r="AA718" s="46"/>
      <c r="AB718" s="46"/>
      <c r="AC718" s="46"/>
      <c r="AD718" s="46"/>
      <c r="AE718" s="46"/>
      <c r="AF718" s="46"/>
    </row>
    <row r="719" spans="1:32" ht="10.199999999999999">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c r="AA719" s="46"/>
      <c r="AB719" s="46"/>
      <c r="AC719" s="46"/>
      <c r="AD719" s="46"/>
      <c r="AE719" s="46"/>
      <c r="AF719" s="46"/>
    </row>
    <row r="720" spans="1:32" ht="10.199999999999999">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c r="AA720" s="46"/>
      <c r="AB720" s="46"/>
      <c r="AC720" s="46"/>
      <c r="AD720" s="46"/>
      <c r="AE720" s="46"/>
      <c r="AF720" s="46"/>
    </row>
    <row r="721" spans="1:32" ht="10.199999999999999">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c r="AA721" s="46"/>
      <c r="AB721" s="46"/>
      <c r="AC721" s="46"/>
      <c r="AD721" s="46"/>
      <c r="AE721" s="46"/>
      <c r="AF721" s="46"/>
    </row>
    <row r="722" spans="1:32" ht="10.199999999999999">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c r="AA722" s="46"/>
      <c r="AB722" s="46"/>
      <c r="AC722" s="46"/>
      <c r="AD722" s="46"/>
      <c r="AE722" s="46"/>
      <c r="AF722" s="46"/>
    </row>
    <row r="723" spans="1:32" ht="10.199999999999999">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c r="AA723" s="46"/>
      <c r="AB723" s="46"/>
      <c r="AC723" s="46"/>
      <c r="AD723" s="46"/>
      <c r="AE723" s="46"/>
      <c r="AF723" s="46"/>
    </row>
    <row r="724" spans="1:32" ht="10.199999999999999">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c r="AA724" s="46"/>
      <c r="AB724" s="46"/>
      <c r="AC724" s="46"/>
      <c r="AD724" s="46"/>
      <c r="AE724" s="46"/>
      <c r="AF724" s="46"/>
    </row>
    <row r="725" spans="1:32" ht="10.199999999999999">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c r="AA725" s="46"/>
      <c r="AB725" s="46"/>
      <c r="AC725" s="46"/>
      <c r="AD725" s="46"/>
      <c r="AE725" s="46"/>
      <c r="AF725" s="46"/>
    </row>
    <row r="726" spans="1:32" ht="10.199999999999999">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c r="AA726" s="46"/>
      <c r="AB726" s="46"/>
      <c r="AC726" s="46"/>
      <c r="AD726" s="46"/>
      <c r="AE726" s="46"/>
      <c r="AF726" s="46"/>
    </row>
    <row r="727" spans="1:32" ht="10.199999999999999">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c r="AA727" s="46"/>
      <c r="AB727" s="46"/>
      <c r="AC727" s="46"/>
      <c r="AD727" s="46"/>
      <c r="AE727" s="46"/>
      <c r="AF727" s="46"/>
    </row>
    <row r="728" spans="1:32" ht="10.199999999999999">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c r="AA728" s="46"/>
      <c r="AB728" s="46"/>
      <c r="AC728" s="46"/>
      <c r="AD728" s="46"/>
      <c r="AE728" s="46"/>
      <c r="AF728" s="46"/>
    </row>
    <row r="729" spans="1:32" ht="10.199999999999999">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c r="AA729" s="46"/>
      <c r="AB729" s="46"/>
      <c r="AC729" s="46"/>
      <c r="AD729" s="46"/>
      <c r="AE729" s="46"/>
      <c r="AF729" s="46"/>
    </row>
    <row r="730" spans="1:32" ht="10.199999999999999">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c r="AA730" s="46"/>
      <c r="AB730" s="46"/>
      <c r="AC730" s="46"/>
      <c r="AD730" s="46"/>
      <c r="AE730" s="46"/>
      <c r="AF730" s="46"/>
    </row>
    <row r="731" spans="1:32" ht="10.199999999999999">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c r="AA731" s="46"/>
      <c r="AB731" s="46"/>
      <c r="AC731" s="46"/>
      <c r="AD731" s="46"/>
      <c r="AE731" s="46"/>
      <c r="AF731" s="46"/>
    </row>
    <row r="732" spans="1:32" ht="10.199999999999999">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c r="AA732" s="46"/>
      <c r="AB732" s="46"/>
      <c r="AC732" s="46"/>
      <c r="AD732" s="46"/>
      <c r="AE732" s="46"/>
      <c r="AF732" s="46"/>
    </row>
    <row r="733" spans="1:32" ht="10.199999999999999">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c r="AA733" s="46"/>
      <c r="AB733" s="46"/>
      <c r="AC733" s="46"/>
      <c r="AD733" s="46"/>
      <c r="AE733" s="46"/>
      <c r="AF733" s="46"/>
    </row>
    <row r="734" spans="1:32" ht="10.199999999999999">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c r="AA734" s="46"/>
      <c r="AB734" s="46"/>
      <c r="AC734" s="46"/>
      <c r="AD734" s="46"/>
      <c r="AE734" s="46"/>
      <c r="AF734" s="46"/>
    </row>
    <row r="735" spans="1:32" ht="10.199999999999999">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c r="AA735" s="46"/>
      <c r="AB735" s="46"/>
      <c r="AC735" s="46"/>
      <c r="AD735" s="46"/>
      <c r="AE735" s="46"/>
      <c r="AF735" s="46"/>
    </row>
    <row r="736" spans="1:32" ht="10.199999999999999">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c r="AA736" s="46"/>
      <c r="AB736" s="46"/>
      <c r="AC736" s="46"/>
      <c r="AD736" s="46"/>
      <c r="AE736" s="46"/>
      <c r="AF736" s="46"/>
    </row>
    <row r="737" spans="1:32" ht="10.199999999999999">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c r="AA737" s="46"/>
      <c r="AB737" s="46"/>
      <c r="AC737" s="46"/>
      <c r="AD737" s="46"/>
      <c r="AE737" s="46"/>
      <c r="AF737" s="46"/>
    </row>
    <row r="738" spans="1:32" ht="10.199999999999999">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c r="AA738" s="46"/>
      <c r="AB738" s="46"/>
      <c r="AC738" s="46"/>
      <c r="AD738" s="46"/>
      <c r="AE738" s="46"/>
      <c r="AF738" s="46"/>
    </row>
    <row r="739" spans="1:32" ht="10.199999999999999">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c r="AA739" s="46"/>
      <c r="AB739" s="46"/>
      <c r="AC739" s="46"/>
      <c r="AD739" s="46"/>
      <c r="AE739" s="46"/>
      <c r="AF739" s="46"/>
    </row>
    <row r="740" spans="1:32" ht="10.199999999999999">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c r="AA740" s="46"/>
      <c r="AB740" s="46"/>
      <c r="AC740" s="46"/>
      <c r="AD740" s="46"/>
      <c r="AE740" s="46"/>
      <c r="AF740" s="46"/>
    </row>
    <row r="741" spans="1:32" ht="10.199999999999999">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c r="AA741" s="46"/>
      <c r="AB741" s="46"/>
      <c r="AC741" s="46"/>
      <c r="AD741" s="46"/>
      <c r="AE741" s="46"/>
      <c r="AF741" s="46"/>
    </row>
    <row r="742" spans="1:32" ht="10.199999999999999">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c r="AA742" s="46"/>
      <c r="AB742" s="46"/>
      <c r="AC742" s="46"/>
      <c r="AD742" s="46"/>
      <c r="AE742" s="46"/>
      <c r="AF742" s="46"/>
    </row>
    <row r="743" spans="1:32" ht="10.199999999999999">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c r="AA743" s="46"/>
      <c r="AB743" s="46"/>
      <c r="AC743" s="46"/>
      <c r="AD743" s="46"/>
      <c r="AE743" s="46"/>
      <c r="AF743" s="46"/>
    </row>
    <row r="744" spans="1:32" ht="10.199999999999999">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c r="AA744" s="46"/>
      <c r="AB744" s="46"/>
      <c r="AC744" s="46"/>
      <c r="AD744" s="46"/>
      <c r="AE744" s="46"/>
      <c r="AF744" s="46"/>
    </row>
    <row r="745" spans="1:32" ht="10.199999999999999">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c r="AA745" s="46"/>
      <c r="AB745" s="46"/>
      <c r="AC745" s="46"/>
      <c r="AD745" s="46"/>
      <c r="AE745" s="46"/>
      <c r="AF745" s="46"/>
    </row>
    <row r="746" spans="1:32" ht="10.199999999999999">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c r="AA746" s="46"/>
      <c r="AB746" s="46"/>
      <c r="AC746" s="46"/>
      <c r="AD746" s="46"/>
      <c r="AE746" s="46"/>
      <c r="AF746" s="46"/>
    </row>
    <row r="747" spans="1:32" ht="10.199999999999999">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c r="AA747" s="46"/>
      <c r="AB747" s="46"/>
      <c r="AC747" s="46"/>
      <c r="AD747" s="46"/>
      <c r="AE747" s="46"/>
      <c r="AF747" s="46"/>
    </row>
    <row r="748" spans="1:32" ht="10.199999999999999">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c r="AA748" s="46"/>
      <c r="AB748" s="46"/>
      <c r="AC748" s="46"/>
      <c r="AD748" s="46"/>
      <c r="AE748" s="46"/>
      <c r="AF748" s="46"/>
    </row>
    <row r="749" spans="1:32" ht="10.199999999999999">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c r="AA749" s="46"/>
      <c r="AB749" s="46"/>
      <c r="AC749" s="46"/>
      <c r="AD749" s="46"/>
      <c r="AE749" s="46"/>
      <c r="AF749" s="46"/>
    </row>
    <row r="750" spans="1:32" ht="10.199999999999999">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c r="AA750" s="46"/>
      <c r="AB750" s="46"/>
      <c r="AC750" s="46"/>
      <c r="AD750" s="46"/>
      <c r="AE750" s="46"/>
      <c r="AF750" s="46"/>
    </row>
    <row r="751" spans="1:32" ht="10.199999999999999">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c r="AA751" s="46"/>
      <c r="AB751" s="46"/>
      <c r="AC751" s="46"/>
      <c r="AD751" s="46"/>
      <c r="AE751" s="46"/>
      <c r="AF751" s="46"/>
    </row>
    <row r="752" spans="1:32" ht="10.199999999999999">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c r="AA752" s="46"/>
      <c r="AB752" s="46"/>
      <c r="AC752" s="46"/>
      <c r="AD752" s="46"/>
      <c r="AE752" s="46"/>
      <c r="AF752" s="46"/>
    </row>
    <row r="753" spans="1:32" ht="10.199999999999999">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c r="AA753" s="46"/>
      <c r="AB753" s="46"/>
      <c r="AC753" s="46"/>
      <c r="AD753" s="46"/>
      <c r="AE753" s="46"/>
      <c r="AF753" s="46"/>
    </row>
    <row r="754" spans="1:32" ht="10.199999999999999">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c r="AA754" s="46"/>
      <c r="AB754" s="46"/>
      <c r="AC754" s="46"/>
      <c r="AD754" s="46"/>
      <c r="AE754" s="46"/>
      <c r="AF754" s="46"/>
    </row>
    <row r="755" spans="1:32" ht="10.199999999999999">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c r="AA755" s="46"/>
      <c r="AB755" s="46"/>
      <c r="AC755" s="46"/>
      <c r="AD755" s="46"/>
      <c r="AE755" s="46"/>
      <c r="AF755" s="46"/>
    </row>
    <row r="756" spans="1:32" ht="10.199999999999999">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c r="AA756" s="46"/>
      <c r="AB756" s="46"/>
      <c r="AC756" s="46"/>
      <c r="AD756" s="46"/>
      <c r="AE756" s="46"/>
      <c r="AF756" s="46"/>
    </row>
    <row r="757" spans="1:32" ht="10.199999999999999">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c r="AA757" s="46"/>
      <c r="AB757" s="46"/>
      <c r="AC757" s="46"/>
      <c r="AD757" s="46"/>
      <c r="AE757" s="46"/>
      <c r="AF757" s="46"/>
    </row>
    <row r="758" spans="1:32" ht="10.199999999999999">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c r="AA758" s="46"/>
      <c r="AB758" s="46"/>
      <c r="AC758" s="46"/>
      <c r="AD758" s="46"/>
      <c r="AE758" s="46"/>
      <c r="AF758" s="46"/>
    </row>
    <row r="759" spans="1:32" ht="10.199999999999999">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c r="AA759" s="46"/>
      <c r="AB759" s="46"/>
      <c r="AC759" s="46"/>
      <c r="AD759" s="46"/>
      <c r="AE759" s="46"/>
      <c r="AF759" s="46"/>
    </row>
    <row r="760" spans="1:32" ht="10.199999999999999">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c r="AA760" s="46"/>
      <c r="AB760" s="46"/>
      <c r="AC760" s="46"/>
      <c r="AD760" s="46"/>
      <c r="AE760" s="46"/>
      <c r="AF760" s="46"/>
    </row>
    <row r="761" spans="1:32" ht="10.199999999999999">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c r="AA761" s="46"/>
      <c r="AB761" s="46"/>
      <c r="AC761" s="46"/>
      <c r="AD761" s="46"/>
      <c r="AE761" s="46"/>
      <c r="AF761" s="46"/>
    </row>
    <row r="762" spans="1:32" ht="10.199999999999999">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c r="AA762" s="46"/>
      <c r="AB762" s="46"/>
      <c r="AC762" s="46"/>
      <c r="AD762" s="46"/>
      <c r="AE762" s="46"/>
      <c r="AF762" s="46"/>
    </row>
    <row r="763" spans="1:32" ht="10.199999999999999">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c r="AA763" s="46"/>
      <c r="AB763" s="46"/>
      <c r="AC763" s="46"/>
      <c r="AD763" s="46"/>
      <c r="AE763" s="46"/>
      <c r="AF763" s="46"/>
    </row>
    <row r="764" spans="1:32" ht="10.199999999999999">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c r="AA764" s="46"/>
      <c r="AB764" s="46"/>
      <c r="AC764" s="46"/>
      <c r="AD764" s="46"/>
      <c r="AE764" s="46"/>
      <c r="AF764" s="46"/>
    </row>
    <row r="765" spans="1:32" ht="10.199999999999999">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c r="AA765" s="46"/>
      <c r="AB765" s="46"/>
      <c r="AC765" s="46"/>
      <c r="AD765" s="46"/>
      <c r="AE765" s="46"/>
      <c r="AF765" s="46"/>
    </row>
    <row r="766" spans="1:32" ht="10.199999999999999">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c r="AA766" s="46"/>
      <c r="AB766" s="46"/>
      <c r="AC766" s="46"/>
      <c r="AD766" s="46"/>
      <c r="AE766" s="46"/>
      <c r="AF766" s="46"/>
    </row>
    <row r="767" spans="1:32" ht="10.199999999999999">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c r="AB767" s="46"/>
      <c r="AC767" s="46"/>
      <c r="AD767" s="46"/>
      <c r="AE767" s="46"/>
      <c r="AF767" s="46"/>
    </row>
    <row r="768" spans="1:32" ht="10.199999999999999">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c r="AA768" s="46"/>
      <c r="AB768" s="46"/>
      <c r="AC768" s="46"/>
      <c r="AD768" s="46"/>
      <c r="AE768" s="46"/>
      <c r="AF768" s="46"/>
    </row>
    <row r="769" spans="1:32" ht="10.199999999999999">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c r="AA769" s="46"/>
      <c r="AB769" s="46"/>
      <c r="AC769" s="46"/>
      <c r="AD769" s="46"/>
      <c r="AE769" s="46"/>
      <c r="AF769" s="46"/>
    </row>
    <row r="770" spans="1:32" ht="10.199999999999999">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c r="AA770" s="46"/>
      <c r="AB770" s="46"/>
      <c r="AC770" s="46"/>
      <c r="AD770" s="46"/>
      <c r="AE770" s="46"/>
      <c r="AF770" s="46"/>
    </row>
    <row r="771" spans="1:32" ht="10.199999999999999">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c r="AA771" s="46"/>
      <c r="AB771" s="46"/>
      <c r="AC771" s="46"/>
      <c r="AD771" s="46"/>
      <c r="AE771" s="46"/>
      <c r="AF771" s="46"/>
    </row>
    <row r="772" spans="1:32" ht="10.199999999999999">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c r="AA772" s="46"/>
      <c r="AB772" s="46"/>
      <c r="AC772" s="46"/>
      <c r="AD772" s="46"/>
      <c r="AE772" s="46"/>
      <c r="AF772" s="46"/>
    </row>
    <row r="773" spans="1:32" ht="10.199999999999999">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c r="AA773" s="46"/>
      <c r="AB773" s="46"/>
      <c r="AC773" s="46"/>
      <c r="AD773" s="46"/>
      <c r="AE773" s="46"/>
      <c r="AF773" s="46"/>
    </row>
    <row r="774" spans="1:32" ht="10.199999999999999">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c r="AA774" s="46"/>
      <c r="AB774" s="46"/>
      <c r="AC774" s="46"/>
      <c r="AD774" s="46"/>
      <c r="AE774" s="46"/>
      <c r="AF774" s="46"/>
    </row>
    <row r="775" spans="1:32" ht="10.199999999999999">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c r="AA775" s="46"/>
      <c r="AB775" s="46"/>
      <c r="AC775" s="46"/>
      <c r="AD775" s="46"/>
      <c r="AE775" s="46"/>
      <c r="AF775" s="46"/>
    </row>
    <row r="776" spans="1:32" ht="10.199999999999999">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c r="AA776" s="46"/>
      <c r="AB776" s="46"/>
      <c r="AC776" s="46"/>
      <c r="AD776" s="46"/>
      <c r="AE776" s="46"/>
      <c r="AF776" s="46"/>
    </row>
    <row r="777" spans="1:32" ht="10.199999999999999">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c r="AA777" s="46"/>
      <c r="AB777" s="46"/>
      <c r="AC777" s="46"/>
      <c r="AD777" s="46"/>
      <c r="AE777" s="46"/>
      <c r="AF777" s="46"/>
    </row>
    <row r="778" spans="1:32" ht="10.199999999999999">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c r="AA778" s="46"/>
      <c r="AB778" s="46"/>
      <c r="AC778" s="46"/>
      <c r="AD778" s="46"/>
      <c r="AE778" s="46"/>
      <c r="AF778" s="46"/>
    </row>
    <row r="779" spans="1:32" ht="10.199999999999999">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c r="AA779" s="46"/>
      <c r="AB779" s="46"/>
      <c r="AC779" s="46"/>
      <c r="AD779" s="46"/>
      <c r="AE779" s="46"/>
      <c r="AF779" s="46"/>
    </row>
    <row r="780" spans="1:32" ht="10.199999999999999">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c r="AA780" s="46"/>
      <c r="AB780" s="46"/>
      <c r="AC780" s="46"/>
      <c r="AD780" s="46"/>
      <c r="AE780" s="46"/>
      <c r="AF780" s="46"/>
    </row>
    <row r="781" spans="1:32" ht="10.199999999999999">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c r="AA781" s="46"/>
      <c r="AB781" s="46"/>
      <c r="AC781" s="46"/>
      <c r="AD781" s="46"/>
      <c r="AE781" s="46"/>
      <c r="AF781" s="46"/>
    </row>
    <row r="782" spans="1:32" ht="10.199999999999999">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c r="AA782" s="46"/>
      <c r="AB782" s="46"/>
      <c r="AC782" s="46"/>
      <c r="AD782" s="46"/>
      <c r="AE782" s="46"/>
      <c r="AF782" s="46"/>
    </row>
    <row r="783" spans="1:32" ht="10.199999999999999">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c r="AA783" s="46"/>
      <c r="AB783" s="46"/>
      <c r="AC783" s="46"/>
      <c r="AD783" s="46"/>
      <c r="AE783" s="46"/>
      <c r="AF783" s="46"/>
    </row>
    <row r="784" spans="1:32" ht="10.199999999999999">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c r="AA784" s="46"/>
      <c r="AB784" s="46"/>
      <c r="AC784" s="46"/>
      <c r="AD784" s="46"/>
      <c r="AE784" s="46"/>
      <c r="AF784" s="46"/>
    </row>
    <row r="785" spans="1:32" ht="10.199999999999999">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c r="AA785" s="46"/>
      <c r="AB785" s="46"/>
      <c r="AC785" s="46"/>
      <c r="AD785" s="46"/>
      <c r="AE785" s="46"/>
      <c r="AF785" s="46"/>
    </row>
    <row r="786" spans="1:32" ht="10.199999999999999">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c r="AA786" s="46"/>
      <c r="AB786" s="46"/>
      <c r="AC786" s="46"/>
      <c r="AD786" s="46"/>
      <c r="AE786" s="46"/>
      <c r="AF786" s="46"/>
    </row>
    <row r="787" spans="1:32" ht="10.199999999999999">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c r="AA787" s="46"/>
      <c r="AB787" s="46"/>
      <c r="AC787" s="46"/>
      <c r="AD787" s="46"/>
      <c r="AE787" s="46"/>
      <c r="AF787" s="46"/>
    </row>
    <row r="788" spans="1:32" ht="10.199999999999999">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c r="AA788" s="46"/>
      <c r="AB788" s="46"/>
      <c r="AC788" s="46"/>
      <c r="AD788" s="46"/>
      <c r="AE788" s="46"/>
      <c r="AF788" s="46"/>
    </row>
    <row r="789" spans="1:32" ht="10.199999999999999">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c r="AA789" s="46"/>
      <c r="AB789" s="46"/>
      <c r="AC789" s="46"/>
      <c r="AD789" s="46"/>
      <c r="AE789" s="46"/>
      <c r="AF789" s="46"/>
    </row>
    <row r="790" spans="1:32" ht="10.199999999999999">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c r="AA790" s="46"/>
      <c r="AB790" s="46"/>
      <c r="AC790" s="46"/>
      <c r="AD790" s="46"/>
      <c r="AE790" s="46"/>
      <c r="AF790" s="46"/>
    </row>
    <row r="791" spans="1:32" ht="10.199999999999999">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c r="AA791" s="46"/>
      <c r="AB791" s="46"/>
      <c r="AC791" s="46"/>
      <c r="AD791" s="46"/>
      <c r="AE791" s="46"/>
      <c r="AF791" s="46"/>
    </row>
    <row r="792" spans="1:32" ht="10.199999999999999">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c r="AA792" s="46"/>
      <c r="AB792" s="46"/>
      <c r="AC792" s="46"/>
      <c r="AD792" s="46"/>
      <c r="AE792" s="46"/>
      <c r="AF792" s="46"/>
    </row>
    <row r="793" spans="1:32" ht="10.199999999999999">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c r="AA793" s="46"/>
      <c r="AB793" s="46"/>
      <c r="AC793" s="46"/>
      <c r="AD793" s="46"/>
      <c r="AE793" s="46"/>
      <c r="AF793" s="46"/>
    </row>
    <row r="794" spans="1:32" ht="10.199999999999999">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c r="AA794" s="46"/>
      <c r="AB794" s="46"/>
      <c r="AC794" s="46"/>
      <c r="AD794" s="46"/>
      <c r="AE794" s="46"/>
      <c r="AF794" s="46"/>
    </row>
    <row r="795" spans="1:32" ht="10.199999999999999">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c r="AA795" s="46"/>
      <c r="AB795" s="46"/>
      <c r="AC795" s="46"/>
      <c r="AD795" s="46"/>
      <c r="AE795" s="46"/>
      <c r="AF795" s="46"/>
    </row>
    <row r="796" spans="1:32" ht="10.199999999999999">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c r="AA796" s="46"/>
      <c r="AB796" s="46"/>
      <c r="AC796" s="46"/>
      <c r="AD796" s="46"/>
      <c r="AE796" s="46"/>
      <c r="AF796" s="46"/>
    </row>
    <row r="797" spans="1:32" ht="10.199999999999999">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c r="AA797" s="46"/>
      <c r="AB797" s="46"/>
      <c r="AC797" s="46"/>
      <c r="AD797" s="46"/>
      <c r="AE797" s="46"/>
      <c r="AF797" s="46"/>
    </row>
    <row r="798" spans="1:32" ht="10.199999999999999">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c r="AA798" s="46"/>
      <c r="AB798" s="46"/>
      <c r="AC798" s="46"/>
      <c r="AD798" s="46"/>
      <c r="AE798" s="46"/>
      <c r="AF798" s="46"/>
    </row>
    <row r="799" spans="1:32" ht="10.199999999999999">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c r="AA799" s="46"/>
      <c r="AB799" s="46"/>
      <c r="AC799" s="46"/>
      <c r="AD799" s="46"/>
      <c r="AE799" s="46"/>
      <c r="AF799" s="46"/>
    </row>
    <row r="800" spans="1:32" ht="10.199999999999999">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c r="AA800" s="46"/>
      <c r="AB800" s="46"/>
      <c r="AC800" s="46"/>
      <c r="AD800" s="46"/>
      <c r="AE800" s="46"/>
      <c r="AF800" s="46"/>
    </row>
    <row r="801" spans="1:32" ht="10.199999999999999">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c r="AA801" s="46"/>
      <c r="AB801" s="46"/>
      <c r="AC801" s="46"/>
      <c r="AD801" s="46"/>
      <c r="AE801" s="46"/>
      <c r="AF801" s="46"/>
    </row>
    <row r="802" spans="1:32" ht="10.199999999999999">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c r="AA802" s="46"/>
      <c r="AB802" s="46"/>
      <c r="AC802" s="46"/>
      <c r="AD802" s="46"/>
      <c r="AE802" s="46"/>
      <c r="AF802" s="46"/>
    </row>
    <row r="803" spans="1:32" ht="10.199999999999999">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c r="AA803" s="46"/>
      <c r="AB803" s="46"/>
      <c r="AC803" s="46"/>
      <c r="AD803" s="46"/>
      <c r="AE803" s="46"/>
      <c r="AF803" s="46"/>
    </row>
    <row r="804" spans="1:32" ht="10.199999999999999">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c r="AA804" s="46"/>
      <c r="AB804" s="46"/>
      <c r="AC804" s="46"/>
      <c r="AD804" s="46"/>
      <c r="AE804" s="46"/>
      <c r="AF804" s="46"/>
    </row>
    <row r="805" spans="1:32" ht="10.199999999999999">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c r="AA805" s="46"/>
      <c r="AB805" s="46"/>
      <c r="AC805" s="46"/>
      <c r="AD805" s="46"/>
      <c r="AE805" s="46"/>
      <c r="AF805" s="46"/>
    </row>
    <row r="806" spans="1:32" ht="10.199999999999999">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c r="AA806" s="46"/>
      <c r="AB806" s="46"/>
      <c r="AC806" s="46"/>
      <c r="AD806" s="46"/>
      <c r="AE806" s="46"/>
      <c r="AF806" s="46"/>
    </row>
    <row r="807" spans="1:32" ht="10.199999999999999">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c r="AA807" s="46"/>
      <c r="AB807" s="46"/>
      <c r="AC807" s="46"/>
      <c r="AD807" s="46"/>
      <c r="AE807" s="46"/>
      <c r="AF807" s="46"/>
    </row>
    <row r="808" spans="1:32" ht="10.199999999999999">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c r="AA808" s="46"/>
      <c r="AB808" s="46"/>
      <c r="AC808" s="46"/>
      <c r="AD808" s="46"/>
      <c r="AE808" s="46"/>
      <c r="AF808" s="46"/>
    </row>
    <row r="809" spans="1:32" ht="10.199999999999999">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c r="AA809" s="46"/>
      <c r="AB809" s="46"/>
      <c r="AC809" s="46"/>
      <c r="AD809" s="46"/>
      <c r="AE809" s="46"/>
      <c r="AF809" s="46"/>
    </row>
    <row r="810" spans="1:32" ht="10.199999999999999">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c r="AA810" s="46"/>
      <c r="AB810" s="46"/>
      <c r="AC810" s="46"/>
      <c r="AD810" s="46"/>
      <c r="AE810" s="46"/>
      <c r="AF810" s="46"/>
    </row>
    <row r="811" spans="1:32" ht="10.199999999999999">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c r="AA811" s="46"/>
      <c r="AB811" s="46"/>
      <c r="AC811" s="46"/>
      <c r="AD811" s="46"/>
      <c r="AE811" s="46"/>
      <c r="AF811" s="46"/>
    </row>
    <row r="812" spans="1:32" ht="10.199999999999999">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c r="AA812" s="46"/>
      <c r="AB812" s="46"/>
      <c r="AC812" s="46"/>
      <c r="AD812" s="46"/>
      <c r="AE812" s="46"/>
      <c r="AF812" s="46"/>
    </row>
    <row r="813" spans="1:32" ht="10.199999999999999">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c r="AA813" s="46"/>
      <c r="AB813" s="46"/>
      <c r="AC813" s="46"/>
      <c r="AD813" s="46"/>
      <c r="AE813" s="46"/>
      <c r="AF813" s="46"/>
    </row>
    <row r="814" spans="1:32" ht="10.199999999999999">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c r="AA814" s="46"/>
      <c r="AB814" s="46"/>
      <c r="AC814" s="46"/>
      <c r="AD814" s="46"/>
      <c r="AE814" s="46"/>
      <c r="AF814" s="46"/>
    </row>
    <row r="815" spans="1:32" ht="10.199999999999999">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c r="AA815" s="46"/>
      <c r="AB815" s="46"/>
      <c r="AC815" s="46"/>
      <c r="AD815" s="46"/>
      <c r="AE815" s="46"/>
      <c r="AF815" s="46"/>
    </row>
    <row r="816" spans="1:32" ht="10.199999999999999">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c r="AA816" s="46"/>
      <c r="AB816" s="46"/>
      <c r="AC816" s="46"/>
      <c r="AD816" s="46"/>
      <c r="AE816" s="46"/>
      <c r="AF816" s="46"/>
    </row>
    <row r="817" spans="1:32" ht="10.199999999999999">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c r="AA817" s="46"/>
      <c r="AB817" s="46"/>
      <c r="AC817" s="46"/>
      <c r="AD817" s="46"/>
      <c r="AE817" s="46"/>
      <c r="AF817" s="46"/>
    </row>
    <row r="818" spans="1:32" ht="10.199999999999999">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c r="AA818" s="46"/>
      <c r="AB818" s="46"/>
      <c r="AC818" s="46"/>
      <c r="AD818" s="46"/>
      <c r="AE818" s="46"/>
      <c r="AF818" s="46"/>
    </row>
    <row r="819" spans="1:32" ht="10.199999999999999">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c r="AA819" s="46"/>
      <c r="AB819" s="46"/>
      <c r="AC819" s="46"/>
      <c r="AD819" s="46"/>
      <c r="AE819" s="46"/>
      <c r="AF819" s="46"/>
    </row>
    <row r="820" spans="1:32" ht="10.199999999999999">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c r="AA820" s="46"/>
      <c r="AB820" s="46"/>
      <c r="AC820" s="46"/>
      <c r="AD820" s="46"/>
      <c r="AE820" s="46"/>
      <c r="AF820" s="46"/>
    </row>
    <row r="821" spans="1:32" ht="10.199999999999999">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c r="AA821" s="46"/>
      <c r="AB821" s="46"/>
      <c r="AC821" s="46"/>
      <c r="AD821" s="46"/>
      <c r="AE821" s="46"/>
      <c r="AF821" s="46"/>
    </row>
    <row r="822" spans="1:32" ht="10.199999999999999">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c r="AA822" s="46"/>
      <c r="AB822" s="46"/>
      <c r="AC822" s="46"/>
      <c r="AD822" s="46"/>
      <c r="AE822" s="46"/>
      <c r="AF822" s="46"/>
    </row>
    <row r="823" spans="1:32" ht="10.199999999999999">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c r="AA823" s="46"/>
      <c r="AB823" s="46"/>
      <c r="AC823" s="46"/>
      <c r="AD823" s="46"/>
      <c r="AE823" s="46"/>
      <c r="AF823" s="46"/>
    </row>
    <row r="824" spans="1:32" ht="10.199999999999999">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c r="AA824" s="46"/>
      <c r="AB824" s="46"/>
      <c r="AC824" s="46"/>
      <c r="AD824" s="46"/>
      <c r="AE824" s="46"/>
      <c r="AF824" s="46"/>
    </row>
    <row r="825" spans="1:32" ht="10.199999999999999">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c r="AA825" s="46"/>
      <c r="AB825" s="46"/>
      <c r="AC825" s="46"/>
      <c r="AD825" s="46"/>
      <c r="AE825" s="46"/>
      <c r="AF825" s="46"/>
    </row>
    <row r="826" spans="1:32" ht="10.199999999999999">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c r="AA826" s="46"/>
      <c r="AB826" s="46"/>
      <c r="AC826" s="46"/>
      <c r="AD826" s="46"/>
      <c r="AE826" s="46"/>
      <c r="AF826" s="46"/>
    </row>
    <row r="827" spans="1:32" ht="10.199999999999999">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c r="AA827" s="46"/>
      <c r="AB827" s="46"/>
      <c r="AC827" s="46"/>
      <c r="AD827" s="46"/>
      <c r="AE827" s="46"/>
      <c r="AF827" s="46"/>
    </row>
    <row r="828" spans="1:32" ht="10.199999999999999">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c r="AA828" s="46"/>
      <c r="AB828" s="46"/>
      <c r="AC828" s="46"/>
      <c r="AD828" s="46"/>
      <c r="AE828" s="46"/>
      <c r="AF828" s="46"/>
    </row>
    <row r="829" spans="1:32" ht="10.199999999999999">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c r="AA829" s="46"/>
      <c r="AB829" s="46"/>
      <c r="AC829" s="46"/>
      <c r="AD829" s="46"/>
      <c r="AE829" s="46"/>
      <c r="AF829" s="46"/>
    </row>
    <row r="830" spans="1:32" ht="10.199999999999999">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c r="AA830" s="46"/>
      <c r="AB830" s="46"/>
      <c r="AC830" s="46"/>
      <c r="AD830" s="46"/>
      <c r="AE830" s="46"/>
      <c r="AF830" s="46"/>
    </row>
    <row r="831" spans="1:32" ht="10.199999999999999">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c r="AA831" s="46"/>
      <c r="AB831" s="46"/>
      <c r="AC831" s="46"/>
      <c r="AD831" s="46"/>
      <c r="AE831" s="46"/>
      <c r="AF831" s="46"/>
    </row>
    <row r="832" spans="1:32" ht="10.199999999999999">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c r="AA832" s="46"/>
      <c r="AB832" s="46"/>
      <c r="AC832" s="46"/>
      <c r="AD832" s="46"/>
      <c r="AE832" s="46"/>
      <c r="AF832" s="46"/>
    </row>
    <row r="833" spans="1:32" ht="10.199999999999999">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c r="AA833" s="46"/>
      <c r="AB833" s="46"/>
      <c r="AC833" s="46"/>
      <c r="AD833" s="46"/>
      <c r="AE833" s="46"/>
      <c r="AF833" s="46"/>
    </row>
    <row r="834" spans="1:32" ht="10.199999999999999">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c r="AA834" s="46"/>
      <c r="AB834" s="46"/>
      <c r="AC834" s="46"/>
      <c r="AD834" s="46"/>
      <c r="AE834" s="46"/>
      <c r="AF834" s="46"/>
    </row>
    <row r="835" spans="1:32" ht="10.199999999999999">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c r="AA835" s="46"/>
      <c r="AB835" s="46"/>
      <c r="AC835" s="46"/>
      <c r="AD835" s="46"/>
      <c r="AE835" s="46"/>
      <c r="AF835" s="46"/>
    </row>
    <row r="836" spans="1:32" ht="10.199999999999999">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c r="AA836" s="46"/>
      <c r="AB836" s="46"/>
      <c r="AC836" s="46"/>
      <c r="AD836" s="46"/>
      <c r="AE836" s="46"/>
      <c r="AF836" s="46"/>
    </row>
    <row r="837" spans="1:32" ht="10.199999999999999">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c r="AA837" s="46"/>
      <c r="AB837" s="46"/>
      <c r="AC837" s="46"/>
      <c r="AD837" s="46"/>
      <c r="AE837" s="46"/>
      <c r="AF837" s="46"/>
    </row>
    <row r="838" spans="1:32" ht="10.199999999999999">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c r="AA838" s="46"/>
      <c r="AB838" s="46"/>
      <c r="AC838" s="46"/>
      <c r="AD838" s="46"/>
      <c r="AE838" s="46"/>
      <c r="AF838" s="46"/>
    </row>
    <row r="839" spans="1:32" ht="10.199999999999999">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c r="AA839" s="46"/>
      <c r="AB839" s="46"/>
      <c r="AC839" s="46"/>
      <c r="AD839" s="46"/>
      <c r="AE839" s="46"/>
      <c r="AF839" s="46"/>
    </row>
    <row r="840" spans="1:32" ht="10.199999999999999">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c r="AA840" s="46"/>
      <c r="AB840" s="46"/>
      <c r="AC840" s="46"/>
      <c r="AD840" s="46"/>
      <c r="AE840" s="46"/>
      <c r="AF840" s="46"/>
    </row>
    <row r="841" spans="1:32" ht="10.199999999999999">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c r="AA841" s="46"/>
      <c r="AB841" s="46"/>
      <c r="AC841" s="46"/>
      <c r="AD841" s="46"/>
      <c r="AE841" s="46"/>
      <c r="AF841" s="46"/>
    </row>
    <row r="842" spans="1:32" ht="10.199999999999999">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c r="AA842" s="46"/>
      <c r="AB842" s="46"/>
      <c r="AC842" s="46"/>
      <c r="AD842" s="46"/>
      <c r="AE842" s="46"/>
      <c r="AF842" s="46"/>
    </row>
    <row r="843" spans="1:32" ht="10.199999999999999">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c r="AA843" s="46"/>
      <c r="AB843" s="46"/>
      <c r="AC843" s="46"/>
      <c r="AD843" s="46"/>
      <c r="AE843" s="46"/>
      <c r="AF843" s="46"/>
    </row>
    <row r="844" spans="1:32" ht="10.199999999999999">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c r="AA844" s="46"/>
      <c r="AB844" s="46"/>
      <c r="AC844" s="46"/>
      <c r="AD844" s="46"/>
      <c r="AE844" s="46"/>
      <c r="AF844" s="46"/>
    </row>
    <row r="845" spans="1:32" ht="10.199999999999999">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c r="AA845" s="46"/>
      <c r="AB845" s="46"/>
      <c r="AC845" s="46"/>
      <c r="AD845" s="46"/>
      <c r="AE845" s="46"/>
      <c r="AF845" s="46"/>
    </row>
    <row r="846" spans="1:32" ht="10.199999999999999">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c r="AA846" s="46"/>
      <c r="AB846" s="46"/>
      <c r="AC846" s="46"/>
      <c r="AD846" s="46"/>
      <c r="AE846" s="46"/>
      <c r="AF846" s="46"/>
    </row>
    <row r="847" spans="1:32" ht="10.199999999999999">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c r="AA847" s="46"/>
      <c r="AB847" s="46"/>
      <c r="AC847" s="46"/>
      <c r="AD847" s="46"/>
      <c r="AE847" s="46"/>
      <c r="AF847" s="46"/>
    </row>
    <row r="848" spans="1:32" ht="10.199999999999999">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c r="AA848" s="46"/>
      <c r="AB848" s="46"/>
      <c r="AC848" s="46"/>
      <c r="AD848" s="46"/>
      <c r="AE848" s="46"/>
      <c r="AF848" s="46"/>
    </row>
    <row r="849" spans="1:32" ht="10.199999999999999">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c r="AA849" s="46"/>
      <c r="AB849" s="46"/>
      <c r="AC849" s="46"/>
      <c r="AD849" s="46"/>
      <c r="AE849" s="46"/>
      <c r="AF849" s="46"/>
    </row>
    <row r="850" spans="1:32" ht="10.199999999999999">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c r="AA850" s="46"/>
      <c r="AB850" s="46"/>
      <c r="AC850" s="46"/>
      <c r="AD850" s="46"/>
      <c r="AE850" s="46"/>
      <c r="AF850" s="46"/>
    </row>
    <row r="851" spans="1:32" ht="10.199999999999999">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c r="AA851" s="46"/>
      <c r="AB851" s="46"/>
      <c r="AC851" s="46"/>
      <c r="AD851" s="46"/>
      <c r="AE851" s="46"/>
      <c r="AF851" s="46"/>
    </row>
    <row r="852" spans="1:32" ht="10.199999999999999">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c r="AA852" s="46"/>
      <c r="AB852" s="46"/>
      <c r="AC852" s="46"/>
      <c r="AD852" s="46"/>
      <c r="AE852" s="46"/>
      <c r="AF852" s="46"/>
    </row>
    <row r="853" spans="1:32" ht="10.199999999999999">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c r="AA853" s="46"/>
      <c r="AB853" s="46"/>
      <c r="AC853" s="46"/>
      <c r="AD853" s="46"/>
      <c r="AE853" s="46"/>
      <c r="AF853" s="46"/>
    </row>
    <row r="854" spans="1:32" ht="10.199999999999999">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c r="AA854" s="46"/>
      <c r="AB854" s="46"/>
      <c r="AC854" s="46"/>
      <c r="AD854" s="46"/>
      <c r="AE854" s="46"/>
      <c r="AF854" s="46"/>
    </row>
    <row r="855" spans="1:32" ht="10.199999999999999">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c r="AA855" s="46"/>
      <c r="AB855" s="46"/>
      <c r="AC855" s="46"/>
      <c r="AD855" s="46"/>
      <c r="AE855" s="46"/>
      <c r="AF855" s="46"/>
    </row>
    <row r="856" spans="1:32" ht="10.199999999999999">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c r="AA856" s="46"/>
      <c r="AB856" s="46"/>
      <c r="AC856" s="46"/>
      <c r="AD856" s="46"/>
      <c r="AE856" s="46"/>
      <c r="AF856" s="46"/>
    </row>
    <row r="857" spans="1:32" ht="10.199999999999999">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c r="AA857" s="46"/>
      <c r="AB857" s="46"/>
      <c r="AC857" s="46"/>
      <c r="AD857" s="46"/>
      <c r="AE857" s="46"/>
      <c r="AF857" s="46"/>
    </row>
    <row r="858" spans="1:32" ht="10.199999999999999">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c r="AA858" s="46"/>
      <c r="AB858" s="46"/>
      <c r="AC858" s="46"/>
      <c r="AD858" s="46"/>
      <c r="AE858" s="46"/>
      <c r="AF858" s="46"/>
    </row>
    <row r="859" spans="1:32" ht="10.199999999999999">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c r="AA859" s="46"/>
      <c r="AB859" s="46"/>
      <c r="AC859" s="46"/>
      <c r="AD859" s="46"/>
      <c r="AE859" s="46"/>
      <c r="AF859" s="46"/>
    </row>
    <row r="860" spans="1:32" ht="10.199999999999999">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c r="AA860" s="46"/>
      <c r="AB860" s="46"/>
      <c r="AC860" s="46"/>
      <c r="AD860" s="46"/>
      <c r="AE860" s="46"/>
      <c r="AF860" s="46"/>
    </row>
    <row r="861" spans="1:32" ht="10.199999999999999">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c r="AA861" s="46"/>
      <c r="AB861" s="46"/>
      <c r="AC861" s="46"/>
      <c r="AD861" s="46"/>
      <c r="AE861" s="46"/>
      <c r="AF861" s="46"/>
    </row>
    <row r="862" spans="1:32" ht="10.199999999999999">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c r="AA862" s="46"/>
      <c r="AB862" s="46"/>
      <c r="AC862" s="46"/>
      <c r="AD862" s="46"/>
      <c r="AE862" s="46"/>
      <c r="AF862" s="46"/>
    </row>
    <row r="863" spans="1:32" ht="10.199999999999999">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c r="AA863" s="46"/>
      <c r="AB863" s="46"/>
      <c r="AC863" s="46"/>
      <c r="AD863" s="46"/>
      <c r="AE863" s="46"/>
      <c r="AF863" s="46"/>
    </row>
    <row r="864" spans="1:32" ht="10.199999999999999">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c r="AA864" s="46"/>
      <c r="AB864" s="46"/>
      <c r="AC864" s="46"/>
      <c r="AD864" s="46"/>
      <c r="AE864" s="46"/>
      <c r="AF864" s="46"/>
    </row>
    <row r="865" spans="1:32" ht="10.199999999999999">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c r="AA865" s="46"/>
      <c r="AB865" s="46"/>
      <c r="AC865" s="46"/>
      <c r="AD865" s="46"/>
      <c r="AE865" s="46"/>
      <c r="AF865" s="46"/>
    </row>
    <row r="866" spans="1:32" ht="10.199999999999999">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c r="AA866" s="46"/>
      <c r="AB866" s="46"/>
      <c r="AC866" s="46"/>
      <c r="AD866" s="46"/>
      <c r="AE866" s="46"/>
      <c r="AF866" s="46"/>
    </row>
    <row r="867" spans="1:32" ht="10.199999999999999">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c r="AA867" s="46"/>
      <c r="AB867" s="46"/>
      <c r="AC867" s="46"/>
      <c r="AD867" s="46"/>
      <c r="AE867" s="46"/>
      <c r="AF867" s="46"/>
    </row>
    <row r="868" spans="1:32" ht="10.199999999999999">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c r="AA868" s="46"/>
      <c r="AB868" s="46"/>
      <c r="AC868" s="46"/>
      <c r="AD868" s="46"/>
      <c r="AE868" s="46"/>
      <c r="AF868" s="46"/>
    </row>
    <row r="869" spans="1:32" ht="10.199999999999999">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c r="AA869" s="46"/>
      <c r="AB869" s="46"/>
      <c r="AC869" s="46"/>
      <c r="AD869" s="46"/>
      <c r="AE869" s="46"/>
      <c r="AF869" s="46"/>
    </row>
    <row r="870" spans="1:32" ht="10.199999999999999">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c r="AA870" s="46"/>
      <c r="AB870" s="46"/>
      <c r="AC870" s="46"/>
      <c r="AD870" s="46"/>
      <c r="AE870" s="46"/>
      <c r="AF870" s="46"/>
    </row>
    <row r="871" spans="1:32" ht="10.199999999999999">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c r="AA871" s="46"/>
      <c r="AB871" s="46"/>
      <c r="AC871" s="46"/>
      <c r="AD871" s="46"/>
      <c r="AE871" s="46"/>
      <c r="AF871" s="46"/>
    </row>
    <row r="872" spans="1:32" ht="10.199999999999999">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c r="AA872" s="46"/>
      <c r="AB872" s="46"/>
      <c r="AC872" s="46"/>
      <c r="AD872" s="46"/>
      <c r="AE872" s="46"/>
      <c r="AF872" s="46"/>
    </row>
    <row r="873" spans="1:32" ht="10.199999999999999">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c r="AA873" s="46"/>
      <c r="AB873" s="46"/>
      <c r="AC873" s="46"/>
      <c r="AD873" s="46"/>
      <c r="AE873" s="46"/>
      <c r="AF873" s="46"/>
    </row>
    <row r="874" spans="1:32" ht="10.199999999999999">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c r="AA874" s="46"/>
      <c r="AB874" s="46"/>
      <c r="AC874" s="46"/>
      <c r="AD874" s="46"/>
      <c r="AE874" s="46"/>
      <c r="AF874" s="46"/>
    </row>
    <row r="875" spans="1:32" ht="10.199999999999999">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c r="AA875" s="46"/>
      <c r="AB875" s="46"/>
      <c r="AC875" s="46"/>
      <c r="AD875" s="46"/>
      <c r="AE875" s="46"/>
      <c r="AF875" s="46"/>
    </row>
    <row r="876" spans="1:32" ht="10.199999999999999">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c r="AA876" s="46"/>
      <c r="AB876" s="46"/>
      <c r="AC876" s="46"/>
      <c r="AD876" s="46"/>
      <c r="AE876" s="46"/>
      <c r="AF876" s="46"/>
    </row>
    <row r="877" spans="1:32" ht="10.199999999999999">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c r="AA877" s="46"/>
      <c r="AB877" s="46"/>
      <c r="AC877" s="46"/>
      <c r="AD877" s="46"/>
      <c r="AE877" s="46"/>
      <c r="AF877" s="46"/>
    </row>
    <row r="878" spans="1:32" ht="10.199999999999999">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c r="AA878" s="46"/>
      <c r="AB878" s="46"/>
      <c r="AC878" s="46"/>
      <c r="AD878" s="46"/>
      <c r="AE878" s="46"/>
      <c r="AF878" s="46"/>
    </row>
    <row r="879" spans="1:32" ht="10.199999999999999">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c r="AA879" s="46"/>
      <c r="AB879" s="46"/>
      <c r="AC879" s="46"/>
      <c r="AD879" s="46"/>
      <c r="AE879" s="46"/>
      <c r="AF879" s="46"/>
    </row>
    <row r="880" spans="1:32" ht="10.199999999999999">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c r="AA880" s="46"/>
      <c r="AB880" s="46"/>
      <c r="AC880" s="46"/>
      <c r="AD880" s="46"/>
      <c r="AE880" s="46"/>
      <c r="AF880" s="46"/>
    </row>
    <row r="881" spans="1:32" ht="10.199999999999999">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c r="AA881" s="46"/>
      <c r="AB881" s="46"/>
      <c r="AC881" s="46"/>
      <c r="AD881" s="46"/>
      <c r="AE881" s="46"/>
      <c r="AF881" s="46"/>
    </row>
    <row r="882" spans="1:32" ht="10.199999999999999">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c r="AA882" s="46"/>
      <c r="AB882" s="46"/>
      <c r="AC882" s="46"/>
      <c r="AD882" s="46"/>
      <c r="AE882" s="46"/>
      <c r="AF882" s="46"/>
    </row>
    <row r="883" spans="1:32" ht="10.199999999999999">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c r="AA883" s="46"/>
      <c r="AB883" s="46"/>
      <c r="AC883" s="46"/>
      <c r="AD883" s="46"/>
      <c r="AE883" s="46"/>
      <c r="AF883" s="46"/>
    </row>
    <row r="884" spans="1:32" ht="10.199999999999999">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c r="AA884" s="46"/>
      <c r="AB884" s="46"/>
      <c r="AC884" s="46"/>
      <c r="AD884" s="46"/>
      <c r="AE884" s="46"/>
      <c r="AF884" s="46"/>
    </row>
    <row r="885" spans="1:32" ht="10.199999999999999">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c r="AA885" s="46"/>
      <c r="AB885" s="46"/>
      <c r="AC885" s="46"/>
      <c r="AD885" s="46"/>
      <c r="AE885" s="46"/>
      <c r="AF885" s="46"/>
    </row>
    <row r="886" spans="1:32" ht="10.199999999999999">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c r="AA886" s="46"/>
      <c r="AB886" s="46"/>
      <c r="AC886" s="46"/>
      <c r="AD886" s="46"/>
      <c r="AE886" s="46"/>
      <c r="AF886" s="46"/>
    </row>
    <row r="887" spans="1:32" ht="10.199999999999999">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c r="AA887" s="46"/>
      <c r="AB887" s="46"/>
      <c r="AC887" s="46"/>
      <c r="AD887" s="46"/>
      <c r="AE887" s="46"/>
      <c r="AF887" s="46"/>
    </row>
    <row r="888" spans="1:32" ht="10.199999999999999">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c r="AA888" s="46"/>
      <c r="AB888" s="46"/>
      <c r="AC888" s="46"/>
      <c r="AD888" s="46"/>
      <c r="AE888" s="46"/>
      <c r="AF888" s="46"/>
    </row>
    <row r="889" spans="1:32" ht="10.199999999999999">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c r="AA889" s="46"/>
      <c r="AB889" s="46"/>
      <c r="AC889" s="46"/>
      <c r="AD889" s="46"/>
      <c r="AE889" s="46"/>
      <c r="AF889" s="46"/>
    </row>
    <row r="890" spans="1:32" ht="10.199999999999999">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c r="AA890" s="46"/>
      <c r="AB890" s="46"/>
      <c r="AC890" s="46"/>
      <c r="AD890" s="46"/>
      <c r="AE890" s="46"/>
      <c r="AF890" s="46"/>
    </row>
    <row r="891" spans="1:32" ht="10.199999999999999">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c r="AA891" s="46"/>
      <c r="AB891" s="46"/>
      <c r="AC891" s="46"/>
      <c r="AD891" s="46"/>
      <c r="AE891" s="46"/>
      <c r="AF891" s="46"/>
    </row>
    <row r="892" spans="1:32" ht="10.199999999999999">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c r="AA892" s="46"/>
      <c r="AB892" s="46"/>
      <c r="AC892" s="46"/>
      <c r="AD892" s="46"/>
      <c r="AE892" s="46"/>
      <c r="AF892" s="46"/>
    </row>
    <row r="893" spans="1:32" ht="10.199999999999999">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c r="AA893" s="46"/>
      <c r="AB893" s="46"/>
      <c r="AC893" s="46"/>
      <c r="AD893" s="46"/>
      <c r="AE893" s="46"/>
      <c r="AF893" s="46"/>
    </row>
    <row r="894" spans="1:32" ht="10.199999999999999">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c r="AA894" s="46"/>
      <c r="AB894" s="46"/>
      <c r="AC894" s="46"/>
      <c r="AD894" s="46"/>
      <c r="AE894" s="46"/>
      <c r="AF894" s="46"/>
    </row>
    <row r="895" spans="1:32" ht="10.199999999999999">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c r="AA895" s="46"/>
      <c r="AB895" s="46"/>
      <c r="AC895" s="46"/>
      <c r="AD895" s="46"/>
      <c r="AE895" s="46"/>
      <c r="AF895" s="46"/>
    </row>
    <row r="896" spans="1:32" ht="10.199999999999999">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c r="AA896" s="46"/>
      <c r="AB896" s="46"/>
      <c r="AC896" s="46"/>
      <c r="AD896" s="46"/>
      <c r="AE896" s="46"/>
      <c r="AF896" s="46"/>
    </row>
    <row r="897" spans="1:32" ht="10.199999999999999">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c r="AA897" s="46"/>
      <c r="AB897" s="46"/>
      <c r="AC897" s="46"/>
      <c r="AD897" s="46"/>
      <c r="AE897" s="46"/>
      <c r="AF897" s="46"/>
    </row>
    <row r="898" spans="1:32" ht="10.199999999999999">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c r="AA898" s="46"/>
      <c r="AB898" s="46"/>
      <c r="AC898" s="46"/>
      <c r="AD898" s="46"/>
      <c r="AE898" s="46"/>
      <c r="AF898" s="46"/>
    </row>
    <row r="899" spans="1:32" ht="10.199999999999999">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c r="AA899" s="46"/>
      <c r="AB899" s="46"/>
      <c r="AC899" s="46"/>
      <c r="AD899" s="46"/>
      <c r="AE899" s="46"/>
      <c r="AF899" s="46"/>
    </row>
    <row r="900" spans="1:32" ht="10.199999999999999">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c r="AA900" s="46"/>
      <c r="AB900" s="46"/>
      <c r="AC900" s="46"/>
      <c r="AD900" s="46"/>
      <c r="AE900" s="46"/>
      <c r="AF900" s="46"/>
    </row>
    <row r="901" spans="1:32" ht="10.199999999999999">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c r="AA901" s="46"/>
      <c r="AB901" s="46"/>
      <c r="AC901" s="46"/>
      <c r="AD901" s="46"/>
      <c r="AE901" s="46"/>
      <c r="AF901" s="46"/>
    </row>
    <row r="902" spans="1:32" ht="10.199999999999999">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c r="AA902" s="46"/>
      <c r="AB902" s="46"/>
      <c r="AC902" s="46"/>
      <c r="AD902" s="46"/>
      <c r="AE902" s="46"/>
      <c r="AF902" s="46"/>
    </row>
    <row r="903" spans="1:32" ht="10.199999999999999">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c r="AA903" s="46"/>
      <c r="AB903" s="46"/>
      <c r="AC903" s="46"/>
      <c r="AD903" s="46"/>
      <c r="AE903" s="46"/>
      <c r="AF903" s="46"/>
    </row>
    <row r="904" spans="1:32" ht="10.199999999999999">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c r="AA904" s="46"/>
      <c r="AB904" s="46"/>
      <c r="AC904" s="46"/>
      <c r="AD904" s="46"/>
      <c r="AE904" s="46"/>
      <c r="AF904" s="46"/>
    </row>
    <row r="905" spans="1:32" ht="10.199999999999999">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c r="AA905" s="46"/>
      <c r="AB905" s="46"/>
      <c r="AC905" s="46"/>
      <c r="AD905" s="46"/>
      <c r="AE905" s="46"/>
      <c r="AF905" s="46"/>
    </row>
    <row r="906" spans="1:32" ht="10.199999999999999">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c r="AA906" s="46"/>
      <c r="AB906" s="46"/>
      <c r="AC906" s="46"/>
      <c r="AD906" s="46"/>
      <c r="AE906" s="46"/>
      <c r="AF906" s="46"/>
    </row>
    <row r="907" spans="1:32" ht="10.199999999999999">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c r="AA907" s="46"/>
      <c r="AB907" s="46"/>
      <c r="AC907" s="46"/>
      <c r="AD907" s="46"/>
      <c r="AE907" s="46"/>
      <c r="AF907" s="46"/>
    </row>
    <row r="908" spans="1:32" ht="10.199999999999999">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c r="AA908" s="46"/>
      <c r="AB908" s="46"/>
      <c r="AC908" s="46"/>
      <c r="AD908" s="46"/>
      <c r="AE908" s="46"/>
      <c r="AF908" s="46"/>
    </row>
    <row r="909" spans="1:32" ht="10.199999999999999">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c r="AA909" s="46"/>
      <c r="AB909" s="46"/>
      <c r="AC909" s="46"/>
      <c r="AD909" s="46"/>
      <c r="AE909" s="46"/>
      <c r="AF909" s="46"/>
    </row>
    <row r="910" spans="1:32" ht="10.199999999999999">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c r="AA910" s="46"/>
      <c r="AB910" s="46"/>
      <c r="AC910" s="46"/>
      <c r="AD910" s="46"/>
      <c r="AE910" s="46"/>
      <c r="AF910" s="46"/>
    </row>
    <row r="911" spans="1:32" ht="10.199999999999999">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c r="AA911" s="46"/>
      <c r="AB911" s="46"/>
      <c r="AC911" s="46"/>
      <c r="AD911" s="46"/>
      <c r="AE911" s="46"/>
      <c r="AF911" s="46"/>
    </row>
    <row r="912" spans="1:32" ht="10.199999999999999">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c r="AA912" s="46"/>
      <c r="AB912" s="46"/>
      <c r="AC912" s="46"/>
      <c r="AD912" s="46"/>
      <c r="AE912" s="46"/>
      <c r="AF912" s="46"/>
    </row>
    <row r="913" spans="1:32" ht="10.199999999999999">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c r="AA913" s="46"/>
      <c r="AB913" s="46"/>
      <c r="AC913" s="46"/>
      <c r="AD913" s="46"/>
      <c r="AE913" s="46"/>
      <c r="AF913" s="46"/>
    </row>
    <row r="914" spans="1:32" ht="10.199999999999999">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c r="AA914" s="46"/>
      <c r="AB914" s="46"/>
      <c r="AC914" s="46"/>
      <c r="AD914" s="46"/>
      <c r="AE914" s="46"/>
      <c r="AF914" s="46"/>
    </row>
    <row r="915" spans="1:32" ht="10.199999999999999">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c r="AA915" s="46"/>
      <c r="AB915" s="46"/>
      <c r="AC915" s="46"/>
      <c r="AD915" s="46"/>
      <c r="AE915" s="46"/>
      <c r="AF915" s="46"/>
    </row>
    <row r="916" spans="1:32" ht="10.199999999999999">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c r="AA916" s="46"/>
      <c r="AB916" s="46"/>
      <c r="AC916" s="46"/>
      <c r="AD916" s="46"/>
      <c r="AE916" s="46"/>
      <c r="AF916" s="46"/>
    </row>
    <row r="917" spans="1:32" ht="10.199999999999999">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c r="AA917" s="46"/>
      <c r="AB917" s="46"/>
      <c r="AC917" s="46"/>
      <c r="AD917" s="46"/>
      <c r="AE917" s="46"/>
      <c r="AF917" s="46"/>
    </row>
    <row r="918" spans="1:32" ht="10.199999999999999">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c r="AA918" s="46"/>
      <c r="AB918" s="46"/>
      <c r="AC918" s="46"/>
      <c r="AD918" s="46"/>
      <c r="AE918" s="46"/>
      <c r="AF918" s="46"/>
    </row>
    <row r="919" spans="1:32" ht="10.199999999999999">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c r="AA919" s="46"/>
      <c r="AB919" s="46"/>
      <c r="AC919" s="46"/>
      <c r="AD919" s="46"/>
      <c r="AE919" s="46"/>
      <c r="AF919" s="46"/>
    </row>
    <row r="920" spans="1:32" ht="10.199999999999999">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c r="AA920" s="46"/>
      <c r="AB920" s="46"/>
      <c r="AC920" s="46"/>
      <c r="AD920" s="46"/>
      <c r="AE920" s="46"/>
      <c r="AF920" s="46"/>
    </row>
    <row r="921" spans="1:32" ht="10.199999999999999">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c r="AA921" s="46"/>
      <c r="AB921" s="46"/>
      <c r="AC921" s="46"/>
      <c r="AD921" s="46"/>
      <c r="AE921" s="46"/>
      <c r="AF921" s="46"/>
    </row>
    <row r="922" spans="1:32" ht="10.199999999999999">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c r="AA922" s="46"/>
      <c r="AB922" s="46"/>
      <c r="AC922" s="46"/>
      <c r="AD922" s="46"/>
      <c r="AE922" s="46"/>
      <c r="AF922" s="46"/>
    </row>
    <row r="923" spans="1:32" ht="10.199999999999999">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c r="AA923" s="46"/>
      <c r="AB923" s="46"/>
      <c r="AC923" s="46"/>
      <c r="AD923" s="46"/>
      <c r="AE923" s="46"/>
      <c r="AF923" s="46"/>
    </row>
    <row r="924" spans="1:32" ht="10.199999999999999">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c r="AA924" s="46"/>
      <c r="AB924" s="46"/>
      <c r="AC924" s="46"/>
      <c r="AD924" s="46"/>
      <c r="AE924" s="46"/>
      <c r="AF924" s="46"/>
    </row>
    <row r="925" spans="1:32" ht="10.199999999999999">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c r="AA925" s="46"/>
      <c r="AB925" s="46"/>
      <c r="AC925" s="46"/>
      <c r="AD925" s="46"/>
      <c r="AE925" s="46"/>
      <c r="AF925" s="46"/>
    </row>
    <row r="926" spans="1:32" ht="10.199999999999999">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c r="AA926" s="46"/>
      <c r="AB926" s="46"/>
      <c r="AC926" s="46"/>
      <c r="AD926" s="46"/>
      <c r="AE926" s="46"/>
      <c r="AF926" s="46"/>
    </row>
    <row r="927" spans="1:32" ht="10.199999999999999">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c r="AA927" s="46"/>
      <c r="AB927" s="46"/>
      <c r="AC927" s="46"/>
      <c r="AD927" s="46"/>
      <c r="AE927" s="46"/>
      <c r="AF927" s="46"/>
    </row>
    <row r="928" spans="1:32" ht="10.199999999999999">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c r="AA928" s="46"/>
      <c r="AB928" s="46"/>
      <c r="AC928" s="46"/>
      <c r="AD928" s="46"/>
      <c r="AE928" s="46"/>
      <c r="AF928" s="46"/>
    </row>
    <row r="929" spans="1:32" ht="10.199999999999999">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c r="AA929" s="46"/>
      <c r="AB929" s="46"/>
      <c r="AC929" s="46"/>
      <c r="AD929" s="46"/>
      <c r="AE929" s="46"/>
      <c r="AF929" s="46"/>
    </row>
    <row r="930" spans="1:32" ht="10.199999999999999">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c r="AA930" s="46"/>
      <c r="AB930" s="46"/>
      <c r="AC930" s="46"/>
      <c r="AD930" s="46"/>
      <c r="AE930" s="46"/>
      <c r="AF930" s="46"/>
    </row>
    <row r="931" spans="1:32" ht="10.199999999999999">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c r="AA931" s="46"/>
      <c r="AB931" s="46"/>
      <c r="AC931" s="46"/>
      <c r="AD931" s="46"/>
      <c r="AE931" s="46"/>
      <c r="AF931" s="46"/>
    </row>
    <row r="932" spans="1:32" ht="10.199999999999999">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c r="AA932" s="46"/>
      <c r="AB932" s="46"/>
      <c r="AC932" s="46"/>
      <c r="AD932" s="46"/>
      <c r="AE932" s="46"/>
      <c r="AF932" s="46"/>
    </row>
    <row r="933" spans="1:32" ht="10.199999999999999">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c r="AA933" s="46"/>
      <c r="AB933" s="46"/>
      <c r="AC933" s="46"/>
      <c r="AD933" s="46"/>
      <c r="AE933" s="46"/>
      <c r="AF933" s="46"/>
    </row>
    <row r="934" spans="1:32" ht="10.199999999999999">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c r="AA934" s="46"/>
      <c r="AB934" s="46"/>
      <c r="AC934" s="46"/>
      <c r="AD934" s="46"/>
      <c r="AE934" s="46"/>
      <c r="AF934" s="46"/>
    </row>
    <row r="935" spans="1:32" ht="10.199999999999999">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c r="AA935" s="46"/>
      <c r="AB935" s="46"/>
      <c r="AC935" s="46"/>
      <c r="AD935" s="46"/>
      <c r="AE935" s="46"/>
      <c r="AF935" s="46"/>
    </row>
    <row r="936" spans="1:32" ht="10.199999999999999">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c r="AA936" s="46"/>
      <c r="AB936" s="46"/>
      <c r="AC936" s="46"/>
      <c r="AD936" s="46"/>
      <c r="AE936" s="46"/>
      <c r="AF936" s="46"/>
    </row>
    <row r="937" spans="1:32" ht="10.199999999999999">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c r="AA937" s="46"/>
      <c r="AB937" s="46"/>
      <c r="AC937" s="46"/>
      <c r="AD937" s="46"/>
      <c r="AE937" s="46"/>
      <c r="AF937" s="46"/>
    </row>
    <row r="938" spans="1:32" ht="10.199999999999999">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c r="AA938" s="46"/>
      <c r="AB938" s="46"/>
      <c r="AC938" s="46"/>
      <c r="AD938" s="46"/>
      <c r="AE938" s="46"/>
      <c r="AF938" s="46"/>
    </row>
    <row r="939" spans="1:32" ht="10.199999999999999">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c r="AA939" s="46"/>
      <c r="AB939" s="46"/>
      <c r="AC939" s="46"/>
      <c r="AD939" s="46"/>
      <c r="AE939" s="46"/>
      <c r="AF939" s="46"/>
    </row>
    <row r="940" spans="1:32" ht="10.199999999999999">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c r="AA940" s="46"/>
      <c r="AB940" s="46"/>
      <c r="AC940" s="46"/>
      <c r="AD940" s="46"/>
      <c r="AE940" s="46"/>
      <c r="AF940" s="46"/>
    </row>
    <row r="941" spans="1:32" ht="10.199999999999999">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c r="AA941" s="46"/>
      <c r="AB941" s="46"/>
      <c r="AC941" s="46"/>
      <c r="AD941" s="46"/>
      <c r="AE941" s="46"/>
      <c r="AF941" s="46"/>
    </row>
    <row r="942" spans="1:32" ht="10.199999999999999">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c r="AA942" s="46"/>
      <c r="AB942" s="46"/>
      <c r="AC942" s="46"/>
      <c r="AD942" s="46"/>
      <c r="AE942" s="46"/>
      <c r="AF942" s="46"/>
    </row>
    <row r="943" spans="1:32" ht="10.199999999999999">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c r="AA943" s="46"/>
      <c r="AB943" s="46"/>
      <c r="AC943" s="46"/>
      <c r="AD943" s="46"/>
      <c r="AE943" s="46"/>
      <c r="AF943" s="46"/>
    </row>
    <row r="944" spans="1:32" ht="10.199999999999999">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c r="AA944" s="46"/>
      <c r="AB944" s="46"/>
      <c r="AC944" s="46"/>
      <c r="AD944" s="46"/>
      <c r="AE944" s="46"/>
      <c r="AF944" s="46"/>
    </row>
    <row r="945" spans="1:32" ht="10.199999999999999">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c r="AA945" s="46"/>
      <c r="AB945" s="46"/>
      <c r="AC945" s="46"/>
      <c r="AD945" s="46"/>
      <c r="AE945" s="46"/>
      <c r="AF945" s="46"/>
    </row>
    <row r="946" spans="1:32" ht="10.199999999999999">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c r="AA946" s="46"/>
      <c r="AB946" s="46"/>
      <c r="AC946" s="46"/>
      <c r="AD946" s="46"/>
      <c r="AE946" s="46"/>
      <c r="AF946" s="46"/>
    </row>
    <row r="947" spans="1:32" ht="10.199999999999999">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c r="AA947" s="46"/>
      <c r="AB947" s="46"/>
      <c r="AC947" s="46"/>
      <c r="AD947" s="46"/>
      <c r="AE947" s="46"/>
      <c r="AF947" s="46"/>
    </row>
    <row r="948" spans="1:32" ht="10.199999999999999">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c r="AA948" s="46"/>
      <c r="AB948" s="46"/>
      <c r="AC948" s="46"/>
      <c r="AD948" s="46"/>
      <c r="AE948" s="46"/>
      <c r="AF948" s="46"/>
    </row>
    <row r="949" spans="1:32" ht="10.199999999999999">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c r="AA949" s="46"/>
      <c r="AB949" s="46"/>
      <c r="AC949" s="46"/>
      <c r="AD949" s="46"/>
      <c r="AE949" s="46"/>
      <c r="AF949" s="46"/>
    </row>
    <row r="950" spans="1:32" ht="10.199999999999999">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c r="AA950" s="46"/>
      <c r="AB950" s="46"/>
      <c r="AC950" s="46"/>
      <c r="AD950" s="46"/>
      <c r="AE950" s="46"/>
      <c r="AF950" s="46"/>
    </row>
    <row r="951" spans="1:32" ht="10.199999999999999">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c r="AA951" s="46"/>
      <c r="AB951" s="46"/>
      <c r="AC951" s="46"/>
      <c r="AD951" s="46"/>
      <c r="AE951" s="46"/>
      <c r="AF951" s="46"/>
    </row>
    <row r="952" spans="1:32" ht="10.199999999999999">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c r="AA952" s="46"/>
      <c r="AB952" s="46"/>
      <c r="AC952" s="46"/>
      <c r="AD952" s="46"/>
      <c r="AE952" s="46"/>
      <c r="AF952" s="46"/>
    </row>
    <row r="953" spans="1:32" ht="10.199999999999999">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c r="AA953" s="46"/>
      <c r="AB953" s="46"/>
      <c r="AC953" s="46"/>
      <c r="AD953" s="46"/>
      <c r="AE953" s="46"/>
      <c r="AF953" s="46"/>
    </row>
    <row r="954" spans="1:32" ht="10.199999999999999">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c r="AA954" s="46"/>
      <c r="AB954" s="46"/>
      <c r="AC954" s="46"/>
      <c r="AD954" s="46"/>
      <c r="AE954" s="46"/>
      <c r="AF954" s="46"/>
    </row>
    <row r="955" spans="1:32" ht="10.199999999999999">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c r="AA955" s="46"/>
      <c r="AB955" s="46"/>
      <c r="AC955" s="46"/>
      <c r="AD955" s="46"/>
      <c r="AE955" s="46"/>
      <c r="AF955" s="46"/>
    </row>
    <row r="956" spans="1:32" ht="10.199999999999999">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c r="AA956" s="46"/>
      <c r="AB956" s="46"/>
      <c r="AC956" s="46"/>
      <c r="AD956" s="46"/>
      <c r="AE956" s="46"/>
      <c r="AF956" s="46"/>
    </row>
    <row r="957" spans="1:32" ht="10.199999999999999">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c r="AA957" s="46"/>
      <c r="AB957" s="46"/>
      <c r="AC957" s="46"/>
      <c r="AD957" s="46"/>
      <c r="AE957" s="46"/>
      <c r="AF957" s="46"/>
    </row>
    <row r="958" spans="1:32" ht="10.199999999999999">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c r="AA958" s="46"/>
      <c r="AB958" s="46"/>
      <c r="AC958" s="46"/>
      <c r="AD958" s="46"/>
      <c r="AE958" s="46"/>
      <c r="AF958" s="46"/>
    </row>
    <row r="959" spans="1:32" ht="10.199999999999999">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c r="AA959" s="46"/>
      <c r="AB959" s="46"/>
      <c r="AC959" s="46"/>
      <c r="AD959" s="46"/>
      <c r="AE959" s="46"/>
      <c r="AF959" s="46"/>
    </row>
    <row r="960" spans="1:32" ht="10.199999999999999">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c r="AA960" s="46"/>
      <c r="AB960" s="46"/>
      <c r="AC960" s="46"/>
      <c r="AD960" s="46"/>
      <c r="AE960" s="46"/>
      <c r="AF960" s="46"/>
    </row>
    <row r="961" spans="1:32" ht="10.199999999999999">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c r="AA961" s="46"/>
      <c r="AB961" s="46"/>
      <c r="AC961" s="46"/>
      <c r="AD961" s="46"/>
      <c r="AE961" s="46"/>
      <c r="AF961" s="46"/>
    </row>
    <row r="962" spans="1:32" ht="10.199999999999999">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c r="AA962" s="46"/>
      <c r="AB962" s="46"/>
      <c r="AC962" s="46"/>
      <c r="AD962" s="46"/>
      <c r="AE962" s="46"/>
      <c r="AF962" s="46"/>
    </row>
    <row r="963" spans="1:32" ht="10.199999999999999">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c r="AA963" s="46"/>
      <c r="AB963" s="46"/>
      <c r="AC963" s="46"/>
      <c r="AD963" s="46"/>
      <c r="AE963" s="46"/>
      <c r="AF963" s="46"/>
    </row>
    <row r="964" spans="1:32" ht="10.199999999999999">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c r="AA964" s="46"/>
      <c r="AB964" s="46"/>
      <c r="AC964" s="46"/>
      <c r="AD964" s="46"/>
      <c r="AE964" s="46"/>
      <c r="AF964" s="46"/>
    </row>
    <row r="965" spans="1:32" ht="10.199999999999999">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c r="AA965" s="46"/>
      <c r="AB965" s="46"/>
      <c r="AC965" s="46"/>
      <c r="AD965" s="46"/>
      <c r="AE965" s="46"/>
      <c r="AF965" s="46"/>
    </row>
    <row r="966" spans="1:32" ht="10.199999999999999">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c r="AA966" s="46"/>
      <c r="AB966" s="46"/>
      <c r="AC966" s="46"/>
      <c r="AD966" s="46"/>
      <c r="AE966" s="46"/>
      <c r="AF966" s="46"/>
    </row>
    <row r="967" spans="1:32" ht="10.199999999999999">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c r="AA967" s="46"/>
      <c r="AB967" s="46"/>
      <c r="AC967" s="46"/>
      <c r="AD967" s="46"/>
      <c r="AE967" s="46"/>
      <c r="AF967" s="46"/>
    </row>
    <row r="968" spans="1:32" ht="10.199999999999999">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c r="AA968" s="46"/>
      <c r="AB968" s="46"/>
      <c r="AC968" s="46"/>
      <c r="AD968" s="46"/>
      <c r="AE968" s="46"/>
      <c r="AF968" s="46"/>
    </row>
    <row r="969" spans="1:32" ht="10.199999999999999">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c r="AA969" s="46"/>
      <c r="AB969" s="46"/>
      <c r="AC969" s="46"/>
      <c r="AD969" s="46"/>
      <c r="AE969" s="46"/>
      <c r="AF969" s="46"/>
    </row>
    <row r="970" spans="1:32" ht="10.199999999999999">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c r="AA970" s="46"/>
      <c r="AB970" s="46"/>
      <c r="AC970" s="46"/>
      <c r="AD970" s="46"/>
      <c r="AE970" s="46"/>
      <c r="AF970" s="46"/>
    </row>
    <row r="971" spans="1:32" ht="10.199999999999999">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c r="AA971" s="46"/>
      <c r="AB971" s="46"/>
      <c r="AC971" s="46"/>
      <c r="AD971" s="46"/>
      <c r="AE971" s="46"/>
      <c r="AF971" s="46"/>
    </row>
    <row r="972" spans="1:32" ht="10.199999999999999">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c r="AA972" s="46"/>
      <c r="AB972" s="46"/>
      <c r="AC972" s="46"/>
      <c r="AD972" s="46"/>
      <c r="AE972" s="46"/>
      <c r="AF972" s="46"/>
    </row>
    <row r="973" spans="1:32" ht="10.199999999999999">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c r="AA973" s="46"/>
      <c r="AB973" s="46"/>
      <c r="AC973" s="46"/>
      <c r="AD973" s="46"/>
      <c r="AE973" s="46"/>
      <c r="AF973" s="46"/>
    </row>
    <row r="974" spans="1:32" ht="10.199999999999999">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c r="AA974" s="46"/>
      <c r="AB974" s="46"/>
      <c r="AC974" s="46"/>
      <c r="AD974" s="46"/>
      <c r="AE974" s="46"/>
      <c r="AF974" s="46"/>
    </row>
    <row r="975" spans="1:32" ht="10.199999999999999">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c r="AA975" s="46"/>
      <c r="AB975" s="46"/>
      <c r="AC975" s="46"/>
      <c r="AD975" s="46"/>
      <c r="AE975" s="46"/>
      <c r="AF975" s="46"/>
    </row>
    <row r="976" spans="1:32" ht="10.199999999999999">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c r="AA976" s="46"/>
      <c r="AB976" s="46"/>
      <c r="AC976" s="46"/>
      <c r="AD976" s="46"/>
      <c r="AE976" s="46"/>
      <c r="AF976" s="46"/>
    </row>
    <row r="977" spans="1:32" ht="10.199999999999999">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c r="AA977" s="46"/>
      <c r="AB977" s="46"/>
      <c r="AC977" s="46"/>
      <c r="AD977" s="46"/>
      <c r="AE977" s="46"/>
      <c r="AF977" s="46"/>
    </row>
    <row r="978" spans="1:32" ht="10.199999999999999">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c r="AA978" s="46"/>
      <c r="AB978" s="46"/>
      <c r="AC978" s="46"/>
      <c r="AD978" s="46"/>
      <c r="AE978" s="46"/>
      <c r="AF978" s="46"/>
    </row>
    <row r="979" spans="1:32" ht="10.199999999999999">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c r="AA979" s="46"/>
      <c r="AB979" s="46"/>
      <c r="AC979" s="46"/>
      <c r="AD979" s="46"/>
      <c r="AE979" s="46"/>
      <c r="AF979" s="46"/>
    </row>
    <row r="980" spans="1:32" ht="10.199999999999999">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c r="AA980" s="46"/>
      <c r="AB980" s="46"/>
      <c r="AC980" s="46"/>
      <c r="AD980" s="46"/>
      <c r="AE980" s="46"/>
      <c r="AF980" s="46"/>
    </row>
    <row r="981" spans="1:32" ht="10.199999999999999">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c r="AA981" s="46"/>
      <c r="AB981" s="46"/>
      <c r="AC981" s="46"/>
      <c r="AD981" s="46"/>
      <c r="AE981" s="46"/>
      <c r="AF981" s="46"/>
    </row>
    <row r="982" spans="1:32" ht="10.199999999999999">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c r="AA982" s="46"/>
      <c r="AB982" s="46"/>
      <c r="AC982" s="46"/>
      <c r="AD982" s="46"/>
      <c r="AE982" s="46"/>
      <c r="AF982" s="46"/>
    </row>
    <row r="983" spans="1:32" ht="10.199999999999999">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c r="AA983" s="46"/>
      <c r="AB983" s="46"/>
      <c r="AC983" s="46"/>
      <c r="AD983" s="46"/>
      <c r="AE983" s="46"/>
      <c r="AF983" s="46"/>
    </row>
    <row r="984" spans="1:32" ht="10.199999999999999">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c r="AA984" s="46"/>
      <c r="AB984" s="46"/>
      <c r="AC984" s="46"/>
      <c r="AD984" s="46"/>
      <c r="AE984" s="46"/>
      <c r="AF984" s="46"/>
    </row>
    <row r="985" spans="1:32" ht="10.199999999999999">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c r="AA985" s="46"/>
      <c r="AB985" s="46"/>
      <c r="AC985" s="46"/>
      <c r="AD985" s="46"/>
      <c r="AE985" s="46"/>
      <c r="AF985" s="46"/>
    </row>
    <row r="986" spans="1:32" ht="10.199999999999999">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c r="AA986" s="46"/>
      <c r="AB986" s="46"/>
      <c r="AC986" s="46"/>
      <c r="AD986" s="46"/>
      <c r="AE986" s="46"/>
      <c r="AF986" s="46"/>
    </row>
    <row r="987" spans="1:32" ht="10.199999999999999">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c r="AA987" s="46"/>
      <c r="AB987" s="46"/>
      <c r="AC987" s="46"/>
      <c r="AD987" s="46"/>
      <c r="AE987" s="46"/>
      <c r="AF987" s="46"/>
    </row>
    <row r="988" spans="1:32" ht="10.199999999999999">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c r="AA988" s="46"/>
      <c r="AB988" s="46"/>
      <c r="AC988" s="46"/>
      <c r="AD988" s="46"/>
      <c r="AE988" s="46"/>
      <c r="AF988" s="46"/>
    </row>
    <row r="989" spans="1:32" ht="10.199999999999999">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c r="AA989" s="46"/>
      <c r="AB989" s="46"/>
      <c r="AC989" s="46"/>
      <c r="AD989" s="46"/>
      <c r="AE989" s="46"/>
      <c r="AF989" s="46"/>
    </row>
    <row r="990" spans="1:32" ht="10.199999999999999">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c r="AA990" s="46"/>
      <c r="AB990" s="46"/>
      <c r="AC990" s="46"/>
      <c r="AD990" s="46"/>
      <c r="AE990" s="46"/>
      <c r="AF990" s="46"/>
    </row>
    <row r="991" spans="1:32" ht="10.199999999999999">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c r="AA991" s="46"/>
      <c r="AB991" s="46"/>
      <c r="AC991" s="46"/>
      <c r="AD991" s="46"/>
      <c r="AE991" s="46"/>
      <c r="AF991" s="46"/>
    </row>
    <row r="992" spans="1:32" ht="10.199999999999999">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c r="AA992" s="46"/>
      <c r="AB992" s="46"/>
      <c r="AC992" s="46"/>
      <c r="AD992" s="46"/>
      <c r="AE992" s="46"/>
      <c r="AF992" s="46"/>
    </row>
    <row r="993" spans="1:32" ht="10.199999999999999">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c r="AA993" s="46"/>
      <c r="AB993" s="46"/>
      <c r="AC993" s="46"/>
      <c r="AD993" s="46"/>
      <c r="AE993" s="46"/>
      <c r="AF993" s="46"/>
    </row>
    <row r="994" spans="1:32" ht="10.199999999999999">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c r="AA994" s="46"/>
      <c r="AB994" s="46"/>
      <c r="AC994" s="46"/>
      <c r="AD994" s="46"/>
      <c r="AE994" s="46"/>
      <c r="AF994" s="46"/>
    </row>
    <row r="995" spans="1:32" ht="10.199999999999999">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c r="AA995" s="46"/>
      <c r="AB995" s="46"/>
      <c r="AC995" s="46"/>
      <c r="AD995" s="46"/>
      <c r="AE995" s="46"/>
      <c r="AF995" s="46"/>
    </row>
    <row r="996" spans="1:32" ht="10.199999999999999">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c r="AA996" s="46"/>
      <c r="AB996" s="46"/>
      <c r="AC996" s="46"/>
      <c r="AD996" s="46"/>
      <c r="AE996" s="46"/>
      <c r="AF996" s="46"/>
    </row>
    <row r="997" spans="1:32" ht="10.199999999999999">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c r="AA997" s="46"/>
      <c r="AB997" s="46"/>
      <c r="AC997" s="46"/>
      <c r="AD997" s="46"/>
      <c r="AE997" s="46"/>
      <c r="AF997" s="46"/>
    </row>
    <row r="998" spans="1:32" ht="10.199999999999999">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c r="AA998" s="46"/>
      <c r="AB998" s="46"/>
      <c r="AC998" s="46"/>
      <c r="AD998" s="46"/>
      <c r="AE998" s="46"/>
      <c r="AF998" s="46"/>
    </row>
    <row r="999" spans="1:32" ht="10.199999999999999">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c r="AA999" s="46"/>
      <c r="AB999" s="46"/>
      <c r="AC999" s="46"/>
      <c r="AD999" s="46"/>
      <c r="AE999" s="46"/>
      <c r="AF999" s="46"/>
    </row>
    <row r="1000" spans="1:32" ht="10.199999999999999">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c r="AA1000" s="46"/>
      <c r="AB1000" s="46"/>
      <c r="AC1000" s="46"/>
      <c r="AD1000" s="46"/>
      <c r="AE1000" s="46"/>
      <c r="AF1000" s="46"/>
    </row>
    <row r="1001" spans="1:32" ht="10.199999999999999">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c r="Y1001" s="46"/>
      <c r="Z1001" s="46"/>
      <c r="AA1001" s="46"/>
      <c r="AB1001" s="46"/>
      <c r="AC1001" s="46"/>
      <c r="AD1001" s="46"/>
      <c r="AE1001" s="46"/>
      <c r="AF1001" s="46"/>
    </row>
    <row r="1002" spans="1:32" ht="10.199999999999999">
      <c r="A1002" s="46"/>
      <c r="B1002" s="46"/>
      <c r="C1002" s="46"/>
      <c r="D1002" s="46"/>
      <c r="E1002" s="46"/>
      <c r="F1002" s="46"/>
      <c r="G1002" s="46"/>
      <c r="H1002" s="46"/>
      <c r="I1002" s="46"/>
      <c r="J1002" s="46"/>
      <c r="K1002" s="46"/>
      <c r="L1002" s="46"/>
      <c r="M1002" s="46"/>
      <c r="N1002" s="46"/>
      <c r="O1002" s="46"/>
      <c r="P1002" s="46"/>
      <c r="Q1002" s="46"/>
      <c r="R1002" s="46"/>
      <c r="S1002" s="46"/>
      <c r="T1002" s="46"/>
      <c r="U1002" s="46"/>
      <c r="V1002" s="46"/>
      <c r="W1002" s="46"/>
      <c r="X1002" s="46"/>
      <c r="Y1002" s="46"/>
      <c r="Z1002" s="46"/>
      <c r="AA1002" s="46"/>
      <c r="AB1002" s="46"/>
      <c r="AC1002" s="46"/>
      <c r="AD1002" s="46"/>
      <c r="AE1002" s="46"/>
      <c r="AF1002" s="46"/>
    </row>
    <row r="1003" spans="1:32" ht="10.199999999999999">
      <c r="A1003" s="46"/>
      <c r="B1003" s="46"/>
      <c r="C1003" s="46"/>
      <c r="D1003" s="46"/>
      <c r="E1003" s="46"/>
      <c r="F1003" s="46"/>
      <c r="G1003" s="46"/>
      <c r="H1003" s="46"/>
      <c r="I1003" s="46"/>
      <c r="J1003" s="46"/>
      <c r="K1003" s="46"/>
      <c r="L1003" s="46"/>
      <c r="M1003" s="46"/>
      <c r="N1003" s="46"/>
      <c r="O1003" s="46"/>
      <c r="P1003" s="46"/>
      <c r="Q1003" s="46"/>
      <c r="R1003" s="46"/>
      <c r="S1003" s="46"/>
      <c r="T1003" s="46"/>
      <c r="U1003" s="46"/>
      <c r="V1003" s="46"/>
      <c r="W1003" s="46"/>
      <c r="X1003" s="46"/>
      <c r="Y1003" s="46"/>
      <c r="Z1003" s="46"/>
      <c r="AA1003" s="46"/>
      <c r="AB1003" s="46"/>
      <c r="AC1003" s="46"/>
      <c r="AD1003" s="46"/>
      <c r="AE1003" s="46"/>
      <c r="AF1003" s="46"/>
    </row>
    <row r="1004" spans="1:32" ht="10.199999999999999">
      <c r="A1004" s="46"/>
      <c r="B1004" s="46"/>
      <c r="C1004" s="46"/>
      <c r="D1004" s="46"/>
      <c r="E1004" s="46"/>
      <c r="F1004" s="46"/>
      <c r="G1004" s="46"/>
      <c r="H1004" s="46"/>
      <c r="I1004" s="46"/>
      <c r="J1004" s="46"/>
      <c r="K1004" s="46"/>
      <c r="L1004" s="46"/>
      <c r="M1004" s="46"/>
      <c r="N1004" s="46"/>
      <c r="O1004" s="46"/>
      <c r="P1004" s="46"/>
      <c r="Q1004" s="46"/>
      <c r="R1004" s="46"/>
      <c r="S1004" s="46"/>
      <c r="T1004" s="46"/>
      <c r="U1004" s="46"/>
      <c r="V1004" s="46"/>
      <c r="W1004" s="46"/>
      <c r="X1004" s="46"/>
      <c r="Y1004" s="46"/>
      <c r="Z1004" s="46"/>
      <c r="AA1004" s="46"/>
      <c r="AB1004" s="46"/>
      <c r="AC1004" s="46"/>
      <c r="AD1004" s="46"/>
      <c r="AE1004" s="46"/>
      <c r="AF1004" s="46"/>
    </row>
    <row r="1005" spans="1:32" ht="10.199999999999999">
      <c r="A1005" s="46"/>
      <c r="B1005" s="46"/>
      <c r="C1005" s="46"/>
      <c r="D1005" s="46"/>
      <c r="E1005" s="46"/>
      <c r="F1005" s="46"/>
      <c r="G1005" s="46"/>
      <c r="H1005" s="46"/>
      <c r="I1005" s="46"/>
      <c r="J1005" s="46"/>
      <c r="K1005" s="46"/>
      <c r="L1005" s="46"/>
      <c r="M1005" s="46"/>
      <c r="N1005" s="46"/>
      <c r="O1005" s="46"/>
      <c r="P1005" s="46"/>
      <c r="Q1005" s="46"/>
      <c r="R1005" s="46"/>
      <c r="S1005" s="46"/>
      <c r="T1005" s="46"/>
      <c r="U1005" s="46"/>
      <c r="V1005" s="46"/>
      <c r="W1005" s="46"/>
      <c r="X1005" s="46"/>
      <c r="Y1005" s="46"/>
      <c r="Z1005" s="46"/>
      <c r="AA1005" s="46"/>
      <c r="AB1005" s="46"/>
      <c r="AC1005" s="46"/>
      <c r="AD1005" s="46"/>
      <c r="AE1005" s="46"/>
      <c r="AF1005" s="46"/>
    </row>
    <row r="1006" spans="1:32" ht="10.199999999999999">
      <c r="A1006" s="46"/>
      <c r="B1006" s="46"/>
      <c r="C1006" s="46"/>
      <c r="D1006" s="46"/>
      <c r="E1006" s="46"/>
      <c r="F1006" s="46"/>
      <c r="G1006" s="46"/>
      <c r="H1006" s="46"/>
      <c r="I1006" s="46"/>
      <c r="J1006" s="46"/>
      <c r="K1006" s="46"/>
      <c r="L1006" s="46"/>
      <c r="M1006" s="46"/>
      <c r="N1006" s="46"/>
      <c r="O1006" s="46"/>
      <c r="P1006" s="46"/>
      <c r="Q1006" s="46"/>
      <c r="R1006" s="46"/>
      <c r="S1006" s="46"/>
      <c r="T1006" s="46"/>
      <c r="U1006" s="46"/>
      <c r="V1006" s="46"/>
      <c r="W1006" s="46"/>
      <c r="X1006" s="46"/>
      <c r="Y1006" s="46"/>
      <c r="Z1006" s="46"/>
      <c r="AA1006" s="46"/>
      <c r="AB1006" s="46"/>
      <c r="AC1006" s="46"/>
      <c r="AD1006" s="46"/>
      <c r="AE1006" s="46"/>
      <c r="AF1006" s="46"/>
    </row>
    <row r="1007" spans="1:32" ht="10.199999999999999">
      <c r="A1007" s="46"/>
      <c r="B1007" s="46"/>
      <c r="C1007" s="46"/>
      <c r="D1007" s="46"/>
      <c r="E1007" s="46"/>
      <c r="F1007" s="46"/>
      <c r="G1007" s="46"/>
      <c r="H1007" s="46"/>
      <c r="I1007" s="46"/>
      <c r="J1007" s="46"/>
      <c r="K1007" s="46"/>
      <c r="L1007" s="46"/>
      <c r="M1007" s="46"/>
      <c r="N1007" s="46"/>
      <c r="O1007" s="46"/>
      <c r="P1007" s="46"/>
      <c r="Q1007" s="46"/>
      <c r="R1007" s="46"/>
      <c r="S1007" s="46"/>
      <c r="T1007" s="46"/>
      <c r="U1007" s="46"/>
      <c r="V1007" s="46"/>
      <c r="W1007" s="46"/>
      <c r="X1007" s="46"/>
      <c r="Y1007" s="46"/>
      <c r="Z1007" s="46"/>
      <c r="AA1007" s="46"/>
      <c r="AB1007" s="46"/>
      <c r="AC1007" s="46"/>
      <c r="AD1007" s="46"/>
      <c r="AE1007" s="46"/>
      <c r="AF1007" s="46"/>
    </row>
    <row r="1008" spans="1:32" ht="10.199999999999999">
      <c r="A1008" s="46"/>
      <c r="B1008" s="46"/>
      <c r="C1008" s="46"/>
      <c r="D1008" s="46"/>
      <c r="E1008" s="46"/>
      <c r="F1008" s="46"/>
      <c r="G1008" s="46"/>
      <c r="H1008" s="46"/>
      <c r="I1008" s="46"/>
      <c r="J1008" s="46"/>
      <c r="K1008" s="46"/>
      <c r="L1008" s="46"/>
      <c r="M1008" s="46"/>
      <c r="N1008" s="46"/>
      <c r="O1008" s="46"/>
      <c r="P1008" s="46"/>
      <c r="Q1008" s="46"/>
      <c r="R1008" s="46"/>
      <c r="S1008" s="46"/>
      <c r="T1008" s="46"/>
      <c r="U1008" s="46"/>
      <c r="V1008" s="46"/>
      <c r="W1008" s="46"/>
      <c r="X1008" s="46"/>
      <c r="Y1008" s="46"/>
      <c r="Z1008" s="46"/>
      <c r="AA1008" s="46"/>
      <c r="AB1008" s="46"/>
      <c r="AC1008" s="46"/>
      <c r="AD1008" s="46"/>
      <c r="AE1008" s="46"/>
      <c r="AF1008" s="46"/>
    </row>
    <row r="1009" spans="1:32" ht="10.199999999999999">
      <c r="A1009" s="46"/>
      <c r="B1009" s="46"/>
      <c r="C1009" s="46"/>
      <c r="D1009" s="46"/>
      <c r="E1009" s="46"/>
      <c r="F1009" s="46"/>
      <c r="G1009" s="46"/>
      <c r="H1009" s="46"/>
      <c r="I1009" s="46"/>
      <c r="J1009" s="46"/>
      <c r="K1009" s="46"/>
      <c r="L1009" s="46"/>
      <c r="M1009" s="46"/>
      <c r="N1009" s="46"/>
      <c r="O1009" s="46"/>
      <c r="P1009" s="46"/>
      <c r="Q1009" s="46"/>
      <c r="R1009" s="46"/>
      <c r="S1009" s="46"/>
      <c r="T1009" s="46"/>
      <c r="U1009" s="46"/>
      <c r="V1009" s="46"/>
      <c r="W1009" s="46"/>
      <c r="X1009" s="46"/>
      <c r="Y1009" s="46"/>
      <c r="Z1009" s="46"/>
      <c r="AA1009" s="46"/>
      <c r="AB1009" s="46"/>
      <c r="AC1009" s="46"/>
      <c r="AD1009" s="46"/>
      <c r="AE1009" s="46"/>
      <c r="AF1009" s="46"/>
    </row>
    <row r="1010" spans="1:32" ht="10.199999999999999">
      <c r="A1010" s="46"/>
      <c r="B1010" s="46"/>
      <c r="C1010" s="46"/>
      <c r="D1010" s="46"/>
      <c r="E1010" s="46"/>
      <c r="F1010" s="46"/>
      <c r="G1010" s="46"/>
      <c r="H1010" s="46"/>
      <c r="I1010" s="46"/>
      <c r="J1010" s="46"/>
      <c r="K1010" s="46"/>
      <c r="L1010" s="46"/>
      <c r="M1010" s="46"/>
      <c r="N1010" s="46"/>
      <c r="O1010" s="46"/>
      <c r="P1010" s="46"/>
      <c r="Q1010" s="46"/>
      <c r="R1010" s="46"/>
      <c r="S1010" s="46"/>
      <c r="T1010" s="46"/>
      <c r="U1010" s="46"/>
      <c r="V1010" s="46"/>
      <c r="W1010" s="46"/>
      <c r="X1010" s="46"/>
      <c r="Y1010" s="46"/>
      <c r="Z1010" s="46"/>
      <c r="AA1010" s="46"/>
      <c r="AB1010" s="46"/>
      <c r="AC1010" s="46"/>
      <c r="AD1010" s="46"/>
      <c r="AE1010" s="46"/>
      <c r="AF1010" s="46"/>
    </row>
    <row r="1011" spans="1:32" ht="10.199999999999999">
      <c r="A1011" s="46"/>
      <c r="B1011" s="46"/>
      <c r="C1011" s="46"/>
      <c r="D1011" s="46"/>
      <c r="E1011" s="46"/>
      <c r="F1011" s="46"/>
      <c r="G1011" s="46"/>
      <c r="H1011" s="46"/>
      <c r="I1011" s="46"/>
      <c r="J1011" s="46"/>
      <c r="K1011" s="46"/>
      <c r="L1011" s="46"/>
      <c r="M1011" s="46"/>
      <c r="N1011" s="46"/>
      <c r="O1011" s="46"/>
      <c r="P1011" s="46"/>
      <c r="Q1011" s="46"/>
      <c r="R1011" s="46"/>
      <c r="S1011" s="46"/>
      <c r="T1011" s="46"/>
      <c r="U1011" s="46"/>
      <c r="V1011" s="46"/>
      <c r="W1011" s="46"/>
      <c r="X1011" s="46"/>
      <c r="Y1011" s="46"/>
      <c r="Z1011" s="46"/>
      <c r="AA1011" s="46"/>
      <c r="AB1011" s="46"/>
      <c r="AC1011" s="46"/>
      <c r="AD1011" s="46"/>
      <c r="AE1011" s="46"/>
      <c r="AF1011" s="46"/>
    </row>
    <row r="1012" spans="1:32" ht="10.199999999999999">
      <c r="A1012" s="46"/>
      <c r="B1012" s="46"/>
      <c r="C1012" s="46"/>
      <c r="D1012" s="46"/>
      <c r="E1012" s="46"/>
      <c r="F1012" s="46"/>
      <c r="G1012" s="46"/>
      <c r="H1012" s="46"/>
      <c r="I1012" s="46"/>
      <c r="J1012" s="46"/>
      <c r="K1012" s="46"/>
      <c r="L1012" s="46"/>
      <c r="M1012" s="46"/>
      <c r="N1012" s="46"/>
      <c r="O1012" s="46"/>
      <c r="P1012" s="46"/>
      <c r="Q1012" s="46"/>
      <c r="R1012" s="46"/>
      <c r="S1012" s="46"/>
      <c r="T1012" s="46"/>
      <c r="U1012" s="46"/>
      <c r="V1012" s="46"/>
      <c r="W1012" s="46"/>
      <c r="X1012" s="46"/>
      <c r="Y1012" s="46"/>
      <c r="Z1012" s="46"/>
      <c r="AA1012" s="46"/>
      <c r="AB1012" s="46"/>
      <c r="AC1012" s="46"/>
      <c r="AD1012" s="46"/>
      <c r="AE1012" s="46"/>
      <c r="AF1012" s="46"/>
    </row>
    <row r="1013" spans="1:32" ht="10.199999999999999">
      <c r="A1013" s="46"/>
      <c r="B1013" s="46"/>
      <c r="C1013" s="46"/>
      <c r="D1013" s="46"/>
      <c r="E1013" s="46"/>
      <c r="F1013" s="46"/>
      <c r="G1013" s="46"/>
      <c r="H1013" s="46"/>
      <c r="I1013" s="46"/>
      <c r="J1013" s="46"/>
      <c r="K1013" s="46"/>
      <c r="L1013" s="46"/>
      <c r="M1013" s="46"/>
      <c r="N1013" s="46"/>
      <c r="O1013" s="46"/>
      <c r="P1013" s="46"/>
      <c r="Q1013" s="46"/>
      <c r="R1013" s="46"/>
      <c r="S1013" s="46"/>
      <c r="T1013" s="46"/>
      <c r="U1013" s="46"/>
      <c r="V1013" s="46"/>
      <c r="W1013" s="46"/>
      <c r="X1013" s="46"/>
      <c r="Y1013" s="46"/>
      <c r="Z1013" s="46"/>
      <c r="AA1013" s="46"/>
      <c r="AB1013" s="46"/>
      <c r="AC1013" s="46"/>
      <c r="AD1013" s="46"/>
      <c r="AE1013" s="46"/>
      <c r="AF1013" s="46"/>
    </row>
    <row r="1014" spans="1:32" ht="10.199999999999999">
      <c r="A1014" s="46"/>
      <c r="B1014" s="46"/>
      <c r="C1014" s="46"/>
      <c r="D1014" s="46"/>
      <c r="E1014" s="46"/>
      <c r="F1014" s="46"/>
      <c r="G1014" s="46"/>
      <c r="H1014" s="46"/>
      <c r="I1014" s="46"/>
      <c r="J1014" s="46"/>
      <c r="K1014" s="46"/>
      <c r="L1014" s="46"/>
      <c r="M1014" s="46"/>
      <c r="N1014" s="46"/>
      <c r="O1014" s="46"/>
      <c r="P1014" s="46"/>
      <c r="Q1014" s="46"/>
      <c r="R1014" s="46"/>
      <c r="S1014" s="46"/>
      <c r="T1014" s="46"/>
      <c r="U1014" s="46"/>
      <c r="V1014" s="46"/>
      <c r="W1014" s="46"/>
      <c r="X1014" s="46"/>
      <c r="Y1014" s="46"/>
      <c r="Z1014" s="46"/>
      <c r="AA1014" s="46"/>
      <c r="AB1014" s="46"/>
      <c r="AC1014" s="46"/>
      <c r="AD1014" s="46"/>
      <c r="AE1014" s="46"/>
      <c r="AF1014" s="46"/>
    </row>
    <row r="1015" spans="1:32" ht="10.199999999999999">
      <c r="A1015" s="46"/>
      <c r="B1015" s="46"/>
      <c r="C1015" s="46"/>
      <c r="D1015" s="46"/>
      <c r="E1015" s="46"/>
      <c r="F1015" s="46"/>
      <c r="G1015" s="46"/>
      <c r="H1015" s="46"/>
      <c r="I1015" s="46"/>
      <c r="J1015" s="46"/>
      <c r="K1015" s="46"/>
      <c r="L1015" s="46"/>
      <c r="M1015" s="46"/>
      <c r="N1015" s="46"/>
      <c r="O1015" s="46"/>
      <c r="P1015" s="46"/>
      <c r="Q1015" s="46"/>
      <c r="R1015" s="46"/>
      <c r="S1015" s="46"/>
      <c r="T1015" s="46"/>
      <c r="U1015" s="46"/>
      <c r="V1015" s="46"/>
      <c r="W1015" s="46"/>
      <c r="X1015" s="46"/>
      <c r="Y1015" s="46"/>
      <c r="Z1015" s="46"/>
      <c r="AA1015" s="46"/>
      <c r="AB1015" s="46"/>
      <c r="AC1015" s="46"/>
      <c r="AD1015" s="46"/>
      <c r="AE1015" s="46"/>
      <c r="AF1015" s="46"/>
    </row>
    <row r="1016" spans="1:32" ht="10.199999999999999">
      <c r="A1016" s="46"/>
      <c r="B1016" s="46"/>
      <c r="C1016" s="46"/>
      <c r="D1016" s="46"/>
      <c r="E1016" s="46"/>
      <c r="F1016" s="46"/>
      <c r="G1016" s="46"/>
      <c r="H1016" s="46"/>
      <c r="I1016" s="46"/>
      <c r="J1016" s="46"/>
      <c r="K1016" s="46"/>
      <c r="L1016" s="46"/>
      <c r="M1016" s="46"/>
      <c r="N1016" s="46"/>
      <c r="O1016" s="46"/>
      <c r="P1016" s="46"/>
      <c r="Q1016" s="46"/>
      <c r="R1016" s="46"/>
      <c r="S1016" s="46"/>
      <c r="T1016" s="46"/>
      <c r="U1016" s="46"/>
      <c r="V1016" s="46"/>
      <c r="W1016" s="46"/>
      <c r="X1016" s="46"/>
      <c r="Y1016" s="46"/>
      <c r="Z1016" s="46"/>
      <c r="AA1016" s="46"/>
      <c r="AB1016" s="46"/>
      <c r="AC1016" s="46"/>
      <c r="AD1016" s="46"/>
      <c r="AE1016" s="46"/>
      <c r="AF1016" s="46"/>
    </row>
    <row r="1017" spans="1:32" ht="10.199999999999999">
      <c r="A1017" s="46"/>
      <c r="B1017" s="46"/>
      <c r="C1017" s="46"/>
      <c r="D1017" s="46"/>
      <c r="E1017" s="46"/>
      <c r="F1017" s="46"/>
      <c r="G1017" s="46"/>
      <c r="H1017" s="46"/>
      <c r="I1017" s="46"/>
      <c r="J1017" s="46"/>
      <c r="K1017" s="46"/>
      <c r="L1017" s="46"/>
      <c r="M1017" s="46"/>
      <c r="N1017" s="46"/>
      <c r="O1017" s="46"/>
      <c r="P1017" s="46"/>
      <c r="Q1017" s="46"/>
      <c r="R1017" s="46"/>
      <c r="S1017" s="46"/>
      <c r="T1017" s="46"/>
      <c r="U1017" s="46"/>
      <c r="V1017" s="46"/>
      <c r="W1017" s="46"/>
      <c r="X1017" s="46"/>
      <c r="Y1017" s="46"/>
      <c r="Z1017" s="46"/>
      <c r="AA1017" s="46"/>
      <c r="AB1017" s="46"/>
      <c r="AC1017" s="46"/>
      <c r="AD1017" s="46"/>
      <c r="AE1017" s="46"/>
      <c r="AF1017" s="46"/>
    </row>
    <row r="1018" spans="1:32" ht="10.199999999999999">
      <c r="A1018" s="46"/>
      <c r="B1018" s="46"/>
      <c r="C1018" s="46"/>
      <c r="D1018" s="46"/>
      <c r="E1018" s="46"/>
      <c r="F1018" s="46"/>
      <c r="G1018" s="46"/>
      <c r="H1018" s="46"/>
      <c r="I1018" s="46"/>
      <c r="J1018" s="46"/>
      <c r="K1018" s="46"/>
      <c r="L1018" s="46"/>
      <c r="M1018" s="46"/>
      <c r="N1018" s="46"/>
      <c r="O1018" s="46"/>
      <c r="P1018" s="46"/>
      <c r="Q1018" s="46"/>
      <c r="R1018" s="46"/>
      <c r="S1018" s="46"/>
      <c r="T1018" s="46"/>
      <c r="U1018" s="46"/>
      <c r="V1018" s="46"/>
      <c r="W1018" s="46"/>
      <c r="X1018" s="46"/>
      <c r="Y1018" s="46"/>
      <c r="Z1018" s="46"/>
      <c r="AA1018" s="46"/>
      <c r="AB1018" s="46"/>
      <c r="AC1018" s="46"/>
      <c r="AD1018" s="46"/>
      <c r="AE1018" s="46"/>
      <c r="AF1018" s="46"/>
    </row>
    <row r="1019" spans="1:32" ht="10.199999999999999">
      <c r="A1019" s="46"/>
      <c r="B1019" s="46"/>
      <c r="C1019" s="46"/>
      <c r="D1019" s="46"/>
      <c r="E1019" s="46"/>
      <c r="F1019" s="46"/>
      <c r="G1019" s="46"/>
      <c r="H1019" s="46"/>
      <c r="I1019" s="46"/>
      <c r="J1019" s="46"/>
      <c r="K1019" s="46"/>
      <c r="L1019" s="46"/>
      <c r="M1019" s="46"/>
      <c r="N1019" s="46"/>
      <c r="O1019" s="46"/>
      <c r="P1019" s="46"/>
      <c r="Q1019" s="46"/>
      <c r="R1019" s="46"/>
      <c r="S1019" s="46"/>
      <c r="T1019" s="46"/>
      <c r="U1019" s="46"/>
      <c r="V1019" s="46"/>
      <c r="W1019" s="46"/>
      <c r="X1019" s="46"/>
      <c r="Y1019" s="46"/>
      <c r="Z1019" s="46"/>
      <c r="AA1019" s="46"/>
      <c r="AB1019" s="46"/>
      <c r="AC1019" s="46"/>
      <c r="AD1019" s="46"/>
      <c r="AE1019" s="46"/>
      <c r="AF1019" s="46"/>
    </row>
    <row r="1020" spans="1:32" ht="10.199999999999999">
      <c r="A1020" s="46"/>
      <c r="B1020" s="46"/>
      <c r="C1020" s="46"/>
      <c r="D1020" s="46"/>
      <c r="E1020" s="46"/>
      <c r="F1020" s="46"/>
      <c r="G1020" s="46"/>
      <c r="H1020" s="46"/>
      <c r="I1020" s="46"/>
      <c r="J1020" s="46"/>
      <c r="K1020" s="46"/>
      <c r="L1020" s="46"/>
      <c r="M1020" s="46"/>
      <c r="N1020" s="46"/>
      <c r="O1020" s="46"/>
      <c r="P1020" s="46"/>
      <c r="Q1020" s="46"/>
      <c r="R1020" s="46"/>
      <c r="S1020" s="46"/>
      <c r="T1020" s="46"/>
      <c r="U1020" s="46"/>
      <c r="V1020" s="46"/>
      <c r="W1020" s="46"/>
      <c r="X1020" s="46"/>
      <c r="Y1020" s="46"/>
      <c r="Z1020" s="46"/>
      <c r="AA1020" s="46"/>
      <c r="AB1020" s="46"/>
      <c r="AC1020" s="46"/>
      <c r="AD1020" s="46"/>
      <c r="AE1020" s="46"/>
      <c r="AF1020" s="46"/>
    </row>
    <row r="1021" spans="1:32" ht="10.199999999999999">
      <c r="A1021" s="46"/>
      <c r="B1021" s="46"/>
      <c r="C1021" s="46"/>
      <c r="D1021" s="46"/>
      <c r="E1021" s="46"/>
      <c r="F1021" s="46"/>
      <c r="G1021" s="46"/>
      <c r="H1021" s="46"/>
      <c r="I1021" s="46"/>
      <c r="J1021" s="46"/>
      <c r="K1021" s="46"/>
      <c r="L1021" s="46"/>
      <c r="M1021" s="46"/>
      <c r="N1021" s="46"/>
      <c r="O1021" s="46"/>
      <c r="P1021" s="46"/>
      <c r="Q1021" s="46"/>
      <c r="R1021" s="46"/>
      <c r="S1021" s="46"/>
      <c r="T1021" s="46"/>
      <c r="U1021" s="46"/>
      <c r="V1021" s="46"/>
      <c r="W1021" s="46"/>
      <c r="X1021" s="46"/>
      <c r="Y1021" s="46"/>
      <c r="Z1021" s="46"/>
      <c r="AA1021" s="46"/>
      <c r="AB1021" s="46"/>
      <c r="AC1021" s="46"/>
      <c r="AD1021" s="46"/>
      <c r="AE1021" s="46"/>
      <c r="AF1021" s="46"/>
    </row>
    <row r="1022" spans="1:32" ht="10.199999999999999">
      <c r="A1022" s="46"/>
      <c r="B1022" s="46"/>
      <c r="C1022" s="46"/>
      <c r="D1022" s="46"/>
      <c r="E1022" s="46"/>
      <c r="F1022" s="46"/>
      <c r="G1022" s="46"/>
      <c r="H1022" s="46"/>
      <c r="I1022" s="46"/>
      <c r="J1022" s="46"/>
      <c r="K1022" s="46"/>
      <c r="L1022" s="46"/>
      <c r="M1022" s="46"/>
      <c r="N1022" s="46"/>
      <c r="O1022" s="46"/>
      <c r="P1022" s="46"/>
      <c r="Q1022" s="46"/>
      <c r="R1022" s="46"/>
      <c r="S1022" s="46"/>
      <c r="T1022" s="46"/>
      <c r="U1022" s="46"/>
      <c r="V1022" s="46"/>
      <c r="W1022" s="46"/>
      <c r="X1022" s="46"/>
      <c r="Y1022" s="46"/>
      <c r="Z1022" s="46"/>
      <c r="AA1022" s="46"/>
      <c r="AB1022" s="46"/>
      <c r="AC1022" s="46"/>
      <c r="AD1022" s="46"/>
      <c r="AE1022" s="46"/>
      <c r="AF1022" s="46"/>
    </row>
    <row r="1023" spans="1:32" ht="10.199999999999999">
      <c r="A1023" s="46"/>
      <c r="B1023" s="46"/>
      <c r="C1023" s="46"/>
      <c r="D1023" s="46"/>
      <c r="E1023" s="46"/>
      <c r="F1023" s="46"/>
      <c r="G1023" s="46"/>
      <c r="H1023" s="46"/>
      <c r="I1023" s="46"/>
      <c r="J1023" s="46"/>
      <c r="K1023" s="46"/>
      <c r="L1023" s="46"/>
      <c r="M1023" s="46"/>
      <c r="N1023" s="46"/>
      <c r="O1023" s="46"/>
      <c r="P1023" s="46"/>
      <c r="Q1023" s="46"/>
      <c r="R1023" s="46"/>
      <c r="S1023" s="46"/>
      <c r="T1023" s="46"/>
      <c r="U1023" s="46"/>
      <c r="V1023" s="46"/>
      <c r="W1023" s="46"/>
      <c r="X1023" s="46"/>
      <c r="Y1023" s="46"/>
      <c r="Z1023" s="46"/>
      <c r="AA1023" s="46"/>
      <c r="AB1023" s="46"/>
      <c r="AC1023" s="46"/>
      <c r="AD1023" s="46"/>
      <c r="AE1023" s="46"/>
      <c r="AF1023" s="46"/>
    </row>
    <row r="1024" spans="1:32" ht="10.199999999999999">
      <c r="A1024" s="46"/>
      <c r="B1024" s="46"/>
      <c r="C1024" s="46"/>
      <c r="D1024" s="46"/>
      <c r="E1024" s="46"/>
      <c r="F1024" s="46"/>
      <c r="G1024" s="46"/>
      <c r="H1024" s="46"/>
      <c r="I1024" s="46"/>
      <c r="J1024" s="46"/>
      <c r="K1024" s="46"/>
      <c r="L1024" s="46"/>
      <c r="M1024" s="46"/>
      <c r="N1024" s="46"/>
      <c r="O1024" s="46"/>
      <c r="P1024" s="46"/>
      <c r="Q1024" s="46"/>
      <c r="R1024" s="46"/>
      <c r="S1024" s="46"/>
      <c r="T1024" s="46"/>
      <c r="U1024" s="46"/>
      <c r="V1024" s="46"/>
      <c r="W1024" s="46"/>
      <c r="X1024" s="46"/>
      <c r="Y1024" s="46"/>
      <c r="Z1024" s="46"/>
      <c r="AA1024" s="46"/>
      <c r="AB1024" s="46"/>
      <c r="AC1024" s="46"/>
      <c r="AD1024" s="46"/>
      <c r="AE1024" s="46"/>
      <c r="AF1024" s="46"/>
    </row>
    <row r="1025" spans="1:32" ht="10.199999999999999">
      <c r="A1025" s="46"/>
      <c r="B1025" s="46"/>
      <c r="C1025" s="46"/>
      <c r="D1025" s="46"/>
      <c r="E1025" s="46"/>
      <c r="F1025" s="46"/>
      <c r="G1025" s="46"/>
      <c r="H1025" s="46"/>
      <c r="I1025" s="46"/>
      <c r="J1025" s="46"/>
      <c r="K1025" s="46"/>
      <c r="L1025" s="46"/>
      <c r="M1025" s="46"/>
      <c r="N1025" s="46"/>
      <c r="O1025" s="46"/>
      <c r="P1025" s="46"/>
      <c r="Q1025" s="46"/>
      <c r="R1025" s="46"/>
      <c r="S1025" s="46"/>
      <c r="T1025" s="46"/>
      <c r="U1025" s="46"/>
      <c r="V1025" s="46"/>
      <c r="W1025" s="46"/>
      <c r="X1025" s="46"/>
      <c r="Y1025" s="46"/>
      <c r="Z1025" s="46"/>
      <c r="AA1025" s="46"/>
      <c r="AB1025" s="46"/>
      <c r="AC1025" s="46"/>
      <c r="AD1025" s="46"/>
      <c r="AE1025" s="46"/>
      <c r="AF1025" s="46"/>
    </row>
    <row r="1026" spans="1:32" ht="10.199999999999999">
      <c r="A1026" s="46"/>
      <c r="B1026" s="46"/>
      <c r="C1026" s="46"/>
      <c r="D1026" s="46"/>
      <c r="E1026" s="46"/>
      <c r="F1026" s="46"/>
      <c r="G1026" s="46"/>
      <c r="H1026" s="46"/>
      <c r="I1026" s="46"/>
      <c r="J1026" s="46"/>
      <c r="K1026" s="46"/>
      <c r="L1026" s="46"/>
      <c r="M1026" s="46"/>
      <c r="N1026" s="46"/>
      <c r="O1026" s="46"/>
      <c r="P1026" s="46"/>
      <c r="Q1026" s="46"/>
      <c r="R1026" s="46"/>
      <c r="S1026" s="46"/>
      <c r="T1026" s="46"/>
      <c r="U1026" s="46"/>
      <c r="V1026" s="46"/>
      <c r="W1026" s="46"/>
      <c r="X1026" s="46"/>
      <c r="Y1026" s="46"/>
      <c r="Z1026" s="46"/>
      <c r="AA1026" s="46"/>
      <c r="AB1026" s="46"/>
      <c r="AC1026" s="46"/>
      <c r="AD1026" s="46"/>
      <c r="AE1026" s="46"/>
      <c r="AF1026" s="46"/>
    </row>
    <row r="1027" spans="1:32" ht="10.199999999999999">
      <c r="A1027" s="46"/>
      <c r="B1027" s="46"/>
      <c r="C1027" s="46"/>
      <c r="D1027" s="46"/>
      <c r="E1027" s="46"/>
      <c r="F1027" s="46"/>
      <c r="G1027" s="46"/>
      <c r="H1027" s="46"/>
      <c r="I1027" s="46"/>
      <c r="J1027" s="46"/>
      <c r="K1027" s="46"/>
      <c r="L1027" s="46"/>
      <c r="M1027" s="46"/>
      <c r="N1027" s="46"/>
      <c r="O1027" s="46"/>
      <c r="P1027" s="46"/>
      <c r="Q1027" s="46"/>
      <c r="R1027" s="46"/>
      <c r="S1027" s="46"/>
      <c r="T1027" s="46"/>
      <c r="U1027" s="46"/>
      <c r="V1027" s="46"/>
      <c r="W1027" s="46"/>
      <c r="X1027" s="46"/>
      <c r="Y1027" s="46"/>
      <c r="Z1027" s="46"/>
      <c r="AA1027" s="46"/>
      <c r="AB1027" s="46"/>
      <c r="AC1027" s="46"/>
      <c r="AD1027" s="46"/>
      <c r="AE1027" s="46"/>
      <c r="AF1027" s="46"/>
    </row>
    <row r="1028" spans="1:32" ht="10.199999999999999">
      <c r="A1028" s="46"/>
      <c r="B1028" s="46"/>
      <c r="C1028" s="46"/>
      <c r="D1028" s="46"/>
      <c r="E1028" s="46"/>
      <c r="F1028" s="46"/>
      <c r="G1028" s="46"/>
      <c r="H1028" s="46"/>
      <c r="I1028" s="46"/>
      <c r="J1028" s="46"/>
      <c r="K1028" s="46"/>
      <c r="L1028" s="46"/>
      <c r="M1028" s="46"/>
      <c r="N1028" s="46"/>
      <c r="O1028" s="46"/>
      <c r="P1028" s="46"/>
      <c r="Q1028" s="46"/>
      <c r="R1028" s="46"/>
      <c r="S1028" s="46"/>
      <c r="T1028" s="46"/>
      <c r="U1028" s="46"/>
      <c r="V1028" s="46"/>
      <c r="W1028" s="46"/>
      <c r="X1028" s="46"/>
      <c r="Y1028" s="46"/>
      <c r="Z1028" s="46"/>
      <c r="AA1028" s="46"/>
      <c r="AB1028" s="46"/>
      <c r="AC1028" s="46"/>
      <c r="AD1028" s="46"/>
      <c r="AE1028" s="46"/>
      <c r="AF1028" s="46"/>
    </row>
    <row r="1029" spans="1:32" ht="10.199999999999999">
      <c r="A1029" s="46"/>
      <c r="B1029" s="46"/>
      <c r="C1029" s="46"/>
      <c r="D1029" s="46"/>
      <c r="E1029" s="46"/>
      <c r="F1029" s="46"/>
      <c r="G1029" s="46"/>
      <c r="H1029" s="46"/>
      <c r="I1029" s="46"/>
      <c r="J1029" s="46"/>
      <c r="K1029" s="46"/>
      <c r="L1029" s="46"/>
      <c r="M1029" s="46"/>
      <c r="N1029" s="46"/>
      <c r="O1029" s="46"/>
      <c r="P1029" s="46"/>
      <c r="Q1029" s="46"/>
      <c r="R1029" s="46"/>
      <c r="S1029" s="46"/>
      <c r="T1029" s="46"/>
      <c r="U1029" s="46"/>
      <c r="V1029" s="46"/>
      <c r="W1029" s="46"/>
      <c r="X1029" s="46"/>
      <c r="Y1029" s="46"/>
      <c r="Z1029" s="46"/>
      <c r="AA1029" s="46"/>
      <c r="AB1029" s="46"/>
      <c r="AC1029" s="46"/>
      <c r="AD1029" s="46"/>
      <c r="AE1029" s="46"/>
      <c r="AF1029" s="46"/>
    </row>
    <row r="1030" spans="1:32" ht="10.199999999999999">
      <c r="A1030" s="46"/>
      <c r="B1030" s="46"/>
      <c r="C1030" s="46"/>
      <c r="D1030" s="46"/>
      <c r="E1030" s="46"/>
      <c r="F1030" s="46"/>
      <c r="G1030" s="46"/>
      <c r="H1030" s="46"/>
      <c r="I1030" s="46"/>
      <c r="J1030" s="46"/>
      <c r="K1030" s="46"/>
      <c r="L1030" s="46"/>
      <c r="M1030" s="46"/>
      <c r="N1030" s="46"/>
      <c r="O1030" s="46"/>
      <c r="P1030" s="46"/>
      <c r="Q1030" s="46"/>
      <c r="R1030" s="46"/>
      <c r="S1030" s="46"/>
      <c r="T1030" s="46"/>
      <c r="U1030" s="46"/>
      <c r="V1030" s="46"/>
      <c r="W1030" s="46"/>
      <c r="X1030" s="46"/>
      <c r="Y1030" s="46"/>
      <c r="Z1030" s="46"/>
      <c r="AA1030" s="46"/>
      <c r="AB1030" s="46"/>
      <c r="AC1030" s="46"/>
      <c r="AD1030" s="46"/>
      <c r="AE1030" s="46"/>
      <c r="AF1030" s="46"/>
    </row>
    <row r="1031" spans="1:32" ht="10.199999999999999">
      <c r="A1031" s="46"/>
      <c r="B1031" s="46"/>
      <c r="C1031" s="46"/>
      <c r="D1031" s="46"/>
      <c r="E1031" s="46"/>
      <c r="F1031" s="46"/>
      <c r="G1031" s="46"/>
      <c r="H1031" s="46"/>
      <c r="I1031" s="46"/>
      <c r="J1031" s="46"/>
      <c r="K1031" s="46"/>
      <c r="L1031" s="46"/>
      <c r="M1031" s="46"/>
      <c r="N1031" s="46"/>
      <c r="O1031" s="46"/>
      <c r="P1031" s="46"/>
      <c r="Q1031" s="46"/>
      <c r="R1031" s="46"/>
      <c r="S1031" s="46"/>
      <c r="T1031" s="46"/>
      <c r="U1031" s="46"/>
      <c r="V1031" s="46"/>
      <c r="W1031" s="46"/>
      <c r="X1031" s="46"/>
      <c r="Y1031" s="46"/>
      <c r="Z1031" s="46"/>
      <c r="AA1031" s="46"/>
      <c r="AB1031" s="46"/>
      <c r="AC1031" s="46"/>
      <c r="AD1031" s="46"/>
      <c r="AE1031" s="46"/>
      <c r="AF1031" s="46"/>
    </row>
    <row r="1032" spans="1:32" ht="10.199999999999999">
      <c r="A1032" s="46"/>
      <c r="B1032" s="46"/>
      <c r="C1032" s="46"/>
      <c r="D1032" s="46"/>
      <c r="E1032" s="46"/>
      <c r="F1032" s="46"/>
      <c r="G1032" s="46"/>
      <c r="H1032" s="46"/>
      <c r="I1032" s="46"/>
      <c r="J1032" s="46"/>
      <c r="K1032" s="46"/>
      <c r="L1032" s="46"/>
      <c r="M1032" s="46"/>
      <c r="N1032" s="46"/>
      <c r="O1032" s="46"/>
      <c r="P1032" s="46"/>
      <c r="Q1032" s="46"/>
      <c r="R1032" s="46"/>
      <c r="S1032" s="46"/>
      <c r="T1032" s="46"/>
      <c r="U1032" s="46"/>
      <c r="V1032" s="46"/>
      <c r="W1032" s="46"/>
      <c r="X1032" s="46"/>
      <c r="Y1032" s="46"/>
      <c r="Z1032" s="46"/>
      <c r="AA1032" s="46"/>
      <c r="AB1032" s="46"/>
      <c r="AC1032" s="46"/>
      <c r="AD1032" s="46"/>
      <c r="AE1032" s="46"/>
      <c r="AF1032" s="46"/>
    </row>
    <row r="1033" spans="1:32" ht="10.199999999999999">
      <c r="A1033" s="46"/>
      <c r="B1033" s="46"/>
      <c r="C1033" s="46"/>
      <c r="D1033" s="46"/>
      <c r="E1033" s="46"/>
      <c r="F1033" s="46"/>
      <c r="G1033" s="46"/>
      <c r="H1033" s="46"/>
      <c r="I1033" s="46"/>
      <c r="J1033" s="46"/>
      <c r="K1033" s="46"/>
      <c r="L1033" s="46"/>
      <c r="M1033" s="46"/>
      <c r="N1033" s="46"/>
      <c r="O1033" s="46"/>
      <c r="P1033" s="46"/>
      <c r="Q1033" s="46"/>
      <c r="R1033" s="46"/>
      <c r="S1033" s="46"/>
      <c r="T1033" s="46"/>
      <c r="U1033" s="46"/>
      <c r="V1033" s="46"/>
      <c r="W1033" s="46"/>
      <c r="X1033" s="46"/>
      <c r="Y1033" s="46"/>
      <c r="Z1033" s="46"/>
      <c r="AA1033" s="46"/>
      <c r="AB1033" s="46"/>
      <c r="AC1033" s="46"/>
      <c r="AD1033" s="46"/>
      <c r="AE1033" s="46"/>
      <c r="AF1033" s="46"/>
    </row>
    <row r="1034" spans="1:32" ht="10.199999999999999">
      <c r="A1034" s="46"/>
      <c r="B1034" s="46"/>
      <c r="C1034" s="46"/>
      <c r="D1034" s="46"/>
      <c r="E1034" s="46"/>
      <c r="F1034" s="46"/>
      <c r="G1034" s="46"/>
      <c r="H1034" s="46"/>
      <c r="I1034" s="46"/>
      <c r="J1034" s="46"/>
      <c r="K1034" s="46"/>
      <c r="L1034" s="46"/>
      <c r="M1034" s="46"/>
      <c r="N1034" s="46"/>
      <c r="O1034" s="46"/>
      <c r="P1034" s="46"/>
      <c r="Q1034" s="46"/>
      <c r="R1034" s="46"/>
      <c r="S1034" s="46"/>
      <c r="T1034" s="46"/>
      <c r="U1034" s="46"/>
      <c r="V1034" s="46"/>
      <c r="W1034" s="46"/>
      <c r="X1034" s="46"/>
      <c r="Y1034" s="46"/>
      <c r="Z1034" s="46"/>
      <c r="AA1034" s="46"/>
      <c r="AB1034" s="46"/>
      <c r="AC1034" s="46"/>
      <c r="AD1034" s="46"/>
      <c r="AE1034" s="46"/>
      <c r="AF1034" s="46"/>
    </row>
    <row r="1035" spans="1:32" ht="10.199999999999999">
      <c r="A1035" s="46"/>
      <c r="B1035" s="46"/>
      <c r="C1035" s="46"/>
      <c r="D1035" s="46"/>
      <c r="E1035" s="46"/>
      <c r="F1035" s="46"/>
      <c r="G1035" s="46"/>
      <c r="H1035" s="46"/>
      <c r="I1035" s="46"/>
      <c r="J1035" s="46"/>
      <c r="K1035" s="46"/>
      <c r="L1035" s="46"/>
      <c r="M1035" s="46"/>
      <c r="N1035" s="46"/>
      <c r="O1035" s="46"/>
      <c r="P1035" s="46"/>
      <c r="Q1035" s="46"/>
      <c r="R1035" s="46"/>
      <c r="S1035" s="46"/>
      <c r="T1035" s="46"/>
      <c r="U1035" s="46"/>
      <c r="V1035" s="46"/>
      <c r="W1035" s="46"/>
      <c r="X1035" s="46"/>
      <c r="Y1035" s="46"/>
      <c r="Z1035" s="46"/>
      <c r="AA1035" s="46"/>
      <c r="AB1035" s="46"/>
      <c r="AC1035" s="46"/>
      <c r="AD1035" s="46"/>
      <c r="AE1035" s="46"/>
      <c r="AF1035" s="46"/>
    </row>
    <row r="1036" spans="1:32" ht="10.199999999999999">
      <c r="A1036" s="46"/>
      <c r="B1036" s="46"/>
      <c r="C1036" s="46"/>
      <c r="D1036" s="46"/>
      <c r="E1036" s="46"/>
      <c r="F1036" s="46"/>
      <c r="G1036" s="46"/>
      <c r="H1036" s="46"/>
      <c r="I1036" s="46"/>
      <c r="J1036" s="46"/>
      <c r="K1036" s="46"/>
      <c r="L1036" s="46"/>
      <c r="M1036" s="46"/>
      <c r="N1036" s="46"/>
      <c r="O1036" s="46"/>
      <c r="P1036" s="46"/>
      <c r="Q1036" s="46"/>
      <c r="R1036" s="46"/>
      <c r="S1036" s="46"/>
      <c r="T1036" s="46"/>
      <c r="U1036" s="46"/>
      <c r="V1036" s="46"/>
      <c r="W1036" s="46"/>
      <c r="X1036" s="46"/>
      <c r="Y1036" s="46"/>
      <c r="Z1036" s="46"/>
      <c r="AA1036" s="46"/>
      <c r="AB1036" s="46"/>
      <c r="AC1036" s="46"/>
      <c r="AD1036" s="46"/>
      <c r="AE1036" s="46"/>
      <c r="AF1036" s="46"/>
    </row>
    <row r="1037" spans="1:32" ht="10.199999999999999">
      <c r="A1037" s="46"/>
      <c r="B1037" s="46"/>
      <c r="C1037" s="46"/>
      <c r="D1037" s="46"/>
      <c r="E1037" s="46"/>
      <c r="F1037" s="46"/>
      <c r="G1037" s="46"/>
      <c r="H1037" s="46"/>
      <c r="I1037" s="46"/>
      <c r="J1037" s="46"/>
      <c r="K1037" s="46"/>
      <c r="L1037" s="46"/>
      <c r="M1037" s="46"/>
      <c r="N1037" s="46"/>
      <c r="O1037" s="46"/>
      <c r="P1037" s="46"/>
      <c r="Q1037" s="46"/>
      <c r="R1037" s="46"/>
      <c r="S1037" s="46"/>
      <c r="T1037" s="46"/>
      <c r="U1037" s="46"/>
      <c r="V1037" s="46"/>
      <c r="W1037" s="46"/>
      <c r="X1037" s="46"/>
      <c r="Y1037" s="46"/>
      <c r="Z1037" s="46"/>
      <c r="AA1037" s="46"/>
      <c r="AB1037" s="46"/>
      <c r="AC1037" s="46"/>
      <c r="AD1037" s="46"/>
      <c r="AE1037" s="46"/>
      <c r="AF1037" s="46"/>
    </row>
    <row r="1038" spans="1:32" ht="10.199999999999999">
      <c r="A1038" s="46"/>
      <c r="B1038" s="46"/>
      <c r="C1038" s="46"/>
      <c r="D1038" s="46"/>
      <c r="E1038" s="46"/>
      <c r="F1038" s="46"/>
      <c r="G1038" s="46"/>
      <c r="H1038" s="46"/>
      <c r="I1038" s="46"/>
      <c r="J1038" s="46"/>
      <c r="K1038" s="46"/>
      <c r="L1038" s="46"/>
      <c r="M1038" s="46"/>
      <c r="N1038" s="46"/>
      <c r="O1038" s="46"/>
      <c r="P1038" s="46"/>
      <c r="Q1038" s="46"/>
      <c r="R1038" s="46"/>
      <c r="S1038" s="46"/>
      <c r="T1038" s="46"/>
      <c r="U1038" s="46"/>
      <c r="V1038" s="46"/>
      <c r="W1038" s="46"/>
      <c r="X1038" s="46"/>
      <c r="Y1038" s="46"/>
      <c r="Z1038" s="46"/>
      <c r="AA1038" s="46"/>
      <c r="AB1038" s="46"/>
      <c r="AC1038" s="46"/>
      <c r="AD1038" s="46"/>
      <c r="AE1038" s="46"/>
      <c r="AF1038" s="46"/>
    </row>
    <row r="1039" spans="1:32" ht="10.199999999999999">
      <c r="A1039" s="46"/>
      <c r="B1039" s="46"/>
      <c r="C1039" s="46"/>
      <c r="D1039" s="46"/>
      <c r="E1039" s="46"/>
      <c r="F1039" s="46"/>
      <c r="G1039" s="46"/>
      <c r="H1039" s="46"/>
      <c r="I1039" s="46"/>
      <c r="J1039" s="46"/>
      <c r="K1039" s="46"/>
      <c r="L1039" s="46"/>
      <c r="M1039" s="46"/>
      <c r="N1039" s="46"/>
      <c r="O1039" s="46"/>
      <c r="P1039" s="46"/>
      <c r="Q1039" s="46"/>
      <c r="R1039" s="46"/>
      <c r="S1039" s="46"/>
      <c r="T1039" s="46"/>
      <c r="U1039" s="46"/>
      <c r="V1039" s="46"/>
      <c r="W1039" s="46"/>
      <c r="X1039" s="46"/>
      <c r="Y1039" s="46"/>
      <c r="Z1039" s="46"/>
      <c r="AA1039" s="46"/>
      <c r="AB1039" s="46"/>
      <c r="AC1039" s="46"/>
      <c r="AD1039" s="46"/>
      <c r="AE1039" s="46"/>
      <c r="AF1039" s="46"/>
    </row>
    <row r="1040" spans="1:32" ht="10.199999999999999">
      <c r="A1040" s="46"/>
      <c r="B1040" s="46"/>
      <c r="C1040" s="46"/>
      <c r="D1040" s="46"/>
      <c r="E1040" s="46"/>
      <c r="F1040" s="46"/>
      <c r="G1040" s="46"/>
      <c r="H1040" s="46"/>
      <c r="I1040" s="46"/>
      <c r="J1040" s="46"/>
      <c r="K1040" s="46"/>
      <c r="L1040" s="46"/>
      <c r="M1040" s="46"/>
      <c r="N1040" s="46"/>
      <c r="O1040" s="46"/>
      <c r="P1040" s="46"/>
      <c r="Q1040" s="46"/>
      <c r="R1040" s="46"/>
      <c r="S1040" s="46"/>
      <c r="T1040" s="46"/>
      <c r="U1040" s="46"/>
      <c r="V1040" s="46"/>
      <c r="W1040" s="46"/>
      <c r="X1040" s="46"/>
      <c r="Y1040" s="46"/>
      <c r="Z1040" s="46"/>
      <c r="AA1040" s="46"/>
      <c r="AB1040" s="46"/>
      <c r="AC1040" s="46"/>
      <c r="AD1040" s="46"/>
      <c r="AE1040" s="46"/>
      <c r="AF1040" s="46"/>
    </row>
    <row r="1041" spans="1:32" ht="10.199999999999999">
      <c r="A1041" s="46"/>
      <c r="B1041" s="46"/>
      <c r="C1041" s="46"/>
      <c r="D1041" s="46"/>
      <c r="E1041" s="46"/>
      <c r="F1041" s="46"/>
      <c r="G1041" s="46"/>
      <c r="H1041" s="46"/>
      <c r="I1041" s="46"/>
      <c r="J1041" s="46"/>
      <c r="K1041" s="46"/>
      <c r="L1041" s="46"/>
      <c r="M1041" s="46"/>
      <c r="N1041" s="46"/>
      <c r="O1041" s="46"/>
      <c r="P1041" s="46"/>
      <c r="Q1041" s="46"/>
      <c r="R1041" s="46"/>
      <c r="S1041" s="46"/>
      <c r="T1041" s="46"/>
      <c r="U1041" s="46"/>
      <c r="V1041" s="46"/>
      <c r="W1041" s="46"/>
      <c r="X1041" s="46"/>
      <c r="Y1041" s="46"/>
      <c r="Z1041" s="46"/>
      <c r="AA1041" s="46"/>
      <c r="AB1041" s="46"/>
      <c r="AC1041" s="46"/>
      <c r="AD1041" s="46"/>
      <c r="AE1041" s="46"/>
      <c r="AF1041" s="46"/>
    </row>
    <row r="1042" spans="1:32" ht="10.199999999999999">
      <c r="A1042" s="46"/>
      <c r="B1042" s="46"/>
      <c r="C1042" s="46"/>
      <c r="D1042" s="46"/>
      <c r="E1042" s="46"/>
      <c r="F1042" s="46"/>
      <c r="G1042" s="46"/>
      <c r="H1042" s="46"/>
      <c r="I1042" s="46"/>
      <c r="J1042" s="46"/>
      <c r="K1042" s="46"/>
      <c r="L1042" s="46"/>
      <c r="M1042" s="46"/>
      <c r="N1042" s="46"/>
      <c r="O1042" s="46"/>
      <c r="P1042" s="46"/>
      <c r="Q1042" s="46"/>
      <c r="R1042" s="46"/>
      <c r="S1042" s="46"/>
      <c r="T1042" s="46"/>
      <c r="U1042" s="46"/>
      <c r="V1042" s="46"/>
      <c r="W1042" s="46"/>
      <c r="X1042" s="46"/>
      <c r="Y1042" s="46"/>
      <c r="Z1042" s="46"/>
      <c r="AA1042" s="46"/>
      <c r="AB1042" s="46"/>
      <c r="AC1042" s="46"/>
      <c r="AD1042" s="46"/>
      <c r="AE1042" s="46"/>
      <c r="AF1042" s="46"/>
    </row>
    <row r="1043" spans="1:32" ht="10.199999999999999">
      <c r="A1043" s="46"/>
      <c r="B1043" s="46"/>
      <c r="C1043" s="46"/>
      <c r="D1043" s="46"/>
      <c r="E1043" s="46"/>
      <c r="F1043" s="46"/>
      <c r="G1043" s="46"/>
      <c r="H1043" s="46"/>
      <c r="I1043" s="46"/>
      <c r="J1043" s="46"/>
      <c r="K1043" s="46"/>
      <c r="L1043" s="46"/>
      <c r="M1043" s="46"/>
      <c r="N1043" s="46"/>
      <c r="O1043" s="46"/>
      <c r="P1043" s="46"/>
      <c r="Q1043" s="46"/>
      <c r="R1043" s="46"/>
      <c r="S1043" s="46"/>
      <c r="T1043" s="46"/>
      <c r="U1043" s="46"/>
      <c r="V1043" s="46"/>
      <c r="W1043" s="46"/>
      <c r="X1043" s="46"/>
      <c r="Y1043" s="46"/>
      <c r="Z1043" s="46"/>
      <c r="AA1043" s="46"/>
      <c r="AB1043" s="46"/>
      <c r="AC1043" s="46"/>
      <c r="AD1043" s="46"/>
      <c r="AE1043" s="46"/>
      <c r="AF1043" s="46"/>
    </row>
    <row r="1044" spans="1:32" ht="10.199999999999999">
      <c r="A1044" s="46"/>
      <c r="B1044" s="46"/>
      <c r="C1044" s="46"/>
      <c r="D1044" s="46"/>
      <c r="E1044" s="46"/>
      <c r="F1044" s="46"/>
      <c r="G1044" s="46"/>
      <c r="H1044" s="46"/>
      <c r="I1044" s="46"/>
      <c r="J1044" s="46"/>
      <c r="K1044" s="46"/>
      <c r="L1044" s="46"/>
      <c r="M1044" s="46"/>
      <c r="N1044" s="46"/>
      <c r="O1044" s="46"/>
      <c r="P1044" s="46"/>
      <c r="Q1044" s="46"/>
      <c r="R1044" s="46"/>
      <c r="S1044" s="46"/>
      <c r="T1044" s="46"/>
      <c r="U1044" s="46"/>
      <c r="V1044" s="46"/>
      <c r="W1044" s="46"/>
      <c r="X1044" s="46"/>
      <c r="Y1044" s="46"/>
      <c r="Z1044" s="46"/>
      <c r="AA1044" s="46"/>
      <c r="AB1044" s="46"/>
      <c r="AC1044" s="46"/>
      <c r="AD1044" s="46"/>
      <c r="AE1044" s="46"/>
      <c r="AF1044" s="46"/>
    </row>
    <row r="1045" spans="1:32" ht="10.199999999999999">
      <c r="A1045" s="46"/>
      <c r="B1045" s="46"/>
      <c r="C1045" s="46"/>
      <c r="D1045" s="46"/>
      <c r="E1045" s="46"/>
      <c r="F1045" s="46"/>
      <c r="G1045" s="46"/>
      <c r="H1045" s="46"/>
      <c r="I1045" s="46"/>
      <c r="J1045" s="46"/>
      <c r="K1045" s="46"/>
      <c r="L1045" s="46"/>
      <c r="M1045" s="46"/>
      <c r="N1045" s="46"/>
      <c r="O1045" s="46"/>
      <c r="P1045" s="46"/>
      <c r="Q1045" s="46"/>
      <c r="R1045" s="46"/>
      <c r="S1045" s="46"/>
      <c r="T1045" s="46"/>
      <c r="U1045" s="46"/>
      <c r="V1045" s="46"/>
      <c r="W1045" s="46"/>
      <c r="X1045" s="46"/>
      <c r="Y1045" s="46"/>
      <c r="Z1045" s="46"/>
      <c r="AA1045" s="46"/>
      <c r="AB1045" s="46"/>
      <c r="AC1045" s="46"/>
      <c r="AD1045" s="46"/>
      <c r="AE1045" s="46"/>
      <c r="AF1045" s="46"/>
    </row>
    <row r="1046" spans="1:32" ht="10.199999999999999">
      <c r="A1046" s="46"/>
      <c r="B1046" s="46"/>
      <c r="C1046" s="46"/>
      <c r="D1046" s="46"/>
      <c r="E1046" s="46"/>
      <c r="F1046" s="46"/>
      <c r="G1046" s="46"/>
      <c r="H1046" s="46"/>
      <c r="I1046" s="46"/>
      <c r="J1046" s="46"/>
      <c r="K1046" s="46"/>
      <c r="L1046" s="46"/>
      <c r="M1046" s="46"/>
      <c r="N1046" s="46"/>
      <c r="O1046" s="46"/>
      <c r="P1046" s="46"/>
      <c r="Q1046" s="46"/>
      <c r="R1046" s="46"/>
      <c r="S1046" s="46"/>
      <c r="T1046" s="46"/>
      <c r="U1046" s="46"/>
      <c r="V1046" s="46"/>
      <c r="W1046" s="46"/>
      <c r="X1046" s="46"/>
      <c r="Y1046" s="46"/>
      <c r="Z1046" s="46"/>
      <c r="AA1046" s="46"/>
      <c r="AB1046" s="46"/>
      <c r="AC1046" s="46"/>
      <c r="AD1046" s="46"/>
      <c r="AE1046" s="46"/>
      <c r="AF1046" s="46"/>
    </row>
    <row r="1047" spans="1:32" ht="10.199999999999999">
      <c r="A1047" s="46"/>
      <c r="B1047" s="46"/>
      <c r="C1047" s="46"/>
      <c r="D1047" s="46"/>
      <c r="E1047" s="46"/>
      <c r="F1047" s="46"/>
      <c r="G1047" s="46"/>
      <c r="H1047" s="46"/>
      <c r="I1047" s="46"/>
      <c r="J1047" s="46"/>
      <c r="K1047" s="46"/>
      <c r="L1047" s="46"/>
      <c r="M1047" s="46"/>
      <c r="N1047" s="46"/>
      <c r="O1047" s="46"/>
      <c r="P1047" s="46"/>
      <c r="Q1047" s="46"/>
      <c r="R1047" s="46"/>
      <c r="S1047" s="46"/>
      <c r="T1047" s="46"/>
      <c r="U1047" s="46"/>
      <c r="V1047" s="46"/>
      <c r="W1047" s="46"/>
      <c r="X1047" s="46"/>
      <c r="Y1047" s="46"/>
      <c r="Z1047" s="46"/>
      <c r="AA1047" s="46"/>
      <c r="AB1047" s="46"/>
      <c r="AC1047" s="46"/>
      <c r="AD1047" s="46"/>
      <c r="AE1047" s="46"/>
      <c r="AF1047" s="46"/>
    </row>
    <row r="1048" spans="1:32" ht="10.199999999999999">
      <c r="A1048" s="46"/>
      <c r="B1048" s="46"/>
      <c r="C1048" s="46"/>
      <c r="D1048" s="46"/>
      <c r="E1048" s="46"/>
      <c r="F1048" s="46"/>
      <c r="G1048" s="46"/>
      <c r="H1048" s="46"/>
      <c r="I1048" s="46"/>
      <c r="J1048" s="46"/>
      <c r="K1048" s="46"/>
      <c r="L1048" s="46"/>
      <c r="M1048" s="46"/>
      <c r="N1048" s="46"/>
      <c r="O1048" s="46"/>
      <c r="P1048" s="46"/>
      <c r="Q1048" s="46"/>
      <c r="R1048" s="46"/>
      <c r="S1048" s="46"/>
      <c r="T1048" s="46"/>
      <c r="U1048" s="46"/>
      <c r="V1048" s="46"/>
      <c r="W1048" s="46"/>
      <c r="X1048" s="46"/>
      <c r="Y1048" s="46"/>
      <c r="Z1048" s="46"/>
      <c r="AA1048" s="46"/>
      <c r="AB1048" s="46"/>
      <c r="AC1048" s="46"/>
      <c r="AD1048" s="46"/>
      <c r="AE1048" s="46"/>
      <c r="AF1048" s="46"/>
    </row>
    <row r="1049" spans="1:32" ht="10.199999999999999">
      <c r="A1049" s="46"/>
      <c r="B1049" s="46"/>
      <c r="C1049" s="46"/>
      <c r="D1049" s="46"/>
      <c r="E1049" s="46"/>
      <c r="F1049" s="46"/>
      <c r="G1049" s="46"/>
      <c r="H1049" s="46"/>
      <c r="I1049" s="46"/>
      <c r="J1049" s="46"/>
      <c r="K1049" s="46"/>
      <c r="L1049" s="46"/>
      <c r="M1049" s="46"/>
      <c r="N1049" s="46"/>
      <c r="O1049" s="46"/>
      <c r="P1049" s="46"/>
      <c r="Q1049" s="46"/>
      <c r="R1049" s="46"/>
      <c r="S1049" s="46"/>
      <c r="T1049" s="46"/>
      <c r="U1049" s="46"/>
      <c r="V1049" s="46"/>
      <c r="W1049" s="46"/>
      <c r="X1049" s="46"/>
      <c r="Y1049" s="46"/>
      <c r="Z1049" s="46"/>
      <c r="AA1049" s="46"/>
      <c r="AB1049" s="46"/>
      <c r="AC1049" s="46"/>
      <c r="AD1049" s="46"/>
      <c r="AE1049" s="46"/>
      <c r="AF1049" s="46"/>
    </row>
    <row r="1050" spans="1:32" ht="10.199999999999999">
      <c r="A1050" s="46"/>
      <c r="B1050" s="46"/>
      <c r="C1050" s="46"/>
      <c r="D1050" s="46"/>
      <c r="E1050" s="46"/>
      <c r="F1050" s="46"/>
      <c r="G1050" s="46"/>
      <c r="H1050" s="46"/>
      <c r="I1050" s="46"/>
      <c r="J1050" s="46"/>
      <c r="K1050" s="46"/>
      <c r="L1050" s="46"/>
      <c r="M1050" s="46"/>
      <c r="N1050" s="46"/>
      <c r="O1050" s="46"/>
      <c r="P1050" s="46"/>
      <c r="Q1050" s="46"/>
      <c r="R1050" s="46"/>
      <c r="S1050" s="46"/>
      <c r="T1050" s="46"/>
      <c r="U1050" s="46"/>
      <c r="V1050" s="46"/>
      <c r="W1050" s="46"/>
      <c r="X1050" s="46"/>
      <c r="Y1050" s="46"/>
      <c r="Z1050" s="46"/>
      <c r="AA1050" s="46"/>
      <c r="AB1050" s="46"/>
      <c r="AC1050" s="46"/>
      <c r="AD1050" s="46"/>
      <c r="AE1050" s="46"/>
      <c r="AF1050" s="46"/>
    </row>
    <row r="1051" spans="1:32" ht="10.199999999999999">
      <c r="A1051" s="46"/>
      <c r="B1051" s="46"/>
      <c r="C1051" s="46"/>
      <c r="D1051" s="46"/>
      <c r="E1051" s="46"/>
      <c r="F1051" s="46"/>
      <c r="G1051" s="46"/>
      <c r="H1051" s="46"/>
      <c r="I1051" s="46"/>
      <c r="J1051" s="46"/>
      <c r="K1051" s="46"/>
      <c r="L1051" s="46"/>
      <c r="M1051" s="46"/>
      <c r="N1051" s="46"/>
      <c r="O1051" s="46"/>
      <c r="P1051" s="46"/>
      <c r="Q1051" s="46"/>
      <c r="R1051" s="46"/>
      <c r="S1051" s="46"/>
      <c r="T1051" s="46"/>
      <c r="U1051" s="46"/>
      <c r="V1051" s="46"/>
      <c r="W1051" s="46"/>
      <c r="X1051" s="46"/>
      <c r="Y1051" s="46"/>
      <c r="Z1051" s="46"/>
      <c r="AA1051" s="46"/>
      <c r="AB1051" s="46"/>
      <c r="AC1051" s="46"/>
      <c r="AD1051" s="46"/>
      <c r="AE1051" s="46"/>
      <c r="AF1051" s="46"/>
    </row>
    <row r="1052" spans="1:32" ht="10.199999999999999">
      <c r="A1052" s="46"/>
      <c r="B1052" s="46"/>
      <c r="C1052" s="46"/>
      <c r="D1052" s="46"/>
      <c r="E1052" s="46"/>
      <c r="F1052" s="46"/>
      <c r="G1052" s="46"/>
      <c r="H1052" s="46"/>
      <c r="I1052" s="46"/>
      <c r="J1052" s="46"/>
      <c r="K1052" s="46"/>
      <c r="L1052" s="46"/>
      <c r="M1052" s="46"/>
      <c r="N1052" s="46"/>
      <c r="O1052" s="46"/>
      <c r="P1052" s="46"/>
      <c r="Q1052" s="46"/>
      <c r="R1052" s="46"/>
      <c r="S1052" s="46"/>
      <c r="T1052" s="46"/>
      <c r="U1052" s="46"/>
      <c r="V1052" s="46"/>
      <c r="W1052" s="46"/>
      <c r="X1052" s="46"/>
      <c r="Y1052" s="46"/>
      <c r="Z1052" s="46"/>
      <c r="AA1052" s="46"/>
      <c r="AB1052" s="46"/>
      <c r="AC1052" s="46"/>
      <c r="AD1052" s="46"/>
      <c r="AE1052" s="46"/>
      <c r="AF1052" s="46"/>
    </row>
    <row r="1053" spans="1:32" ht="10.199999999999999">
      <c r="A1053" s="46"/>
      <c r="B1053" s="46"/>
      <c r="C1053" s="46"/>
      <c r="D1053" s="46"/>
      <c r="E1053" s="46"/>
      <c r="F1053" s="46"/>
      <c r="G1053" s="46"/>
      <c r="H1053" s="46"/>
      <c r="I1053" s="46"/>
      <c r="J1053" s="46"/>
      <c r="K1053" s="46"/>
      <c r="L1053" s="46"/>
      <c r="M1053" s="46"/>
      <c r="N1053" s="46"/>
      <c r="O1053" s="46"/>
      <c r="P1053" s="46"/>
      <c r="Q1053" s="46"/>
      <c r="R1053" s="46"/>
      <c r="S1053" s="46"/>
      <c r="T1053" s="46"/>
      <c r="U1053" s="46"/>
      <c r="V1053" s="46"/>
      <c r="W1053" s="46"/>
      <c r="X1053" s="46"/>
      <c r="Y1053" s="46"/>
      <c r="Z1053" s="46"/>
      <c r="AA1053" s="46"/>
      <c r="AB1053" s="46"/>
      <c r="AC1053" s="46"/>
      <c r="AD1053" s="46"/>
      <c r="AE1053" s="46"/>
      <c r="AF1053" s="46"/>
    </row>
    <row r="1054" spans="1:32" ht="10.199999999999999">
      <c r="A1054" s="46"/>
      <c r="B1054" s="46"/>
      <c r="C1054" s="46"/>
      <c r="D1054" s="46"/>
      <c r="E1054" s="46"/>
      <c r="F1054" s="46"/>
      <c r="G1054" s="46"/>
      <c r="H1054" s="46"/>
      <c r="I1054" s="46"/>
      <c r="J1054" s="46"/>
      <c r="K1054" s="46"/>
      <c r="L1054" s="46"/>
      <c r="M1054" s="46"/>
      <c r="N1054" s="46"/>
      <c r="O1054" s="46"/>
      <c r="P1054" s="46"/>
      <c r="Q1054" s="46"/>
      <c r="R1054" s="46"/>
      <c r="S1054" s="46"/>
      <c r="T1054" s="46"/>
      <c r="U1054" s="46"/>
      <c r="V1054" s="46"/>
      <c r="W1054" s="46"/>
      <c r="X1054" s="46"/>
      <c r="Y1054" s="46"/>
      <c r="Z1054" s="46"/>
      <c r="AA1054" s="46"/>
      <c r="AB1054" s="46"/>
      <c r="AC1054" s="46"/>
      <c r="AD1054" s="46"/>
      <c r="AE1054" s="46"/>
      <c r="AF1054" s="46"/>
    </row>
    <row r="1055" spans="1:32" ht="10.199999999999999">
      <c r="A1055" s="46"/>
      <c r="B1055" s="46"/>
      <c r="C1055" s="46"/>
      <c r="D1055" s="46"/>
      <c r="E1055" s="46"/>
      <c r="F1055" s="46"/>
      <c r="G1055" s="46"/>
      <c r="H1055" s="46"/>
      <c r="I1055" s="46"/>
      <c r="J1055" s="46"/>
      <c r="K1055" s="46"/>
      <c r="L1055" s="46"/>
      <c r="M1055" s="46"/>
      <c r="N1055" s="46"/>
      <c r="O1055" s="46"/>
      <c r="P1055" s="46"/>
      <c r="Q1055" s="46"/>
      <c r="R1055" s="46"/>
      <c r="S1055" s="46"/>
      <c r="T1055" s="46"/>
      <c r="U1055" s="46"/>
      <c r="V1055" s="46"/>
      <c r="W1055" s="46"/>
      <c r="X1055" s="46"/>
      <c r="Y1055" s="46"/>
      <c r="Z1055" s="46"/>
      <c r="AA1055" s="46"/>
      <c r="AB1055" s="46"/>
      <c r="AC1055" s="46"/>
      <c r="AD1055" s="46"/>
      <c r="AE1055" s="46"/>
      <c r="AF1055" s="46"/>
    </row>
    <row r="1056" spans="1:32" ht="10.199999999999999">
      <c r="A1056" s="46"/>
      <c r="B1056" s="46"/>
      <c r="C1056" s="46"/>
      <c r="D1056" s="46"/>
      <c r="E1056" s="46"/>
      <c r="F1056" s="46"/>
      <c r="G1056" s="46"/>
      <c r="H1056" s="46"/>
      <c r="I1056" s="46"/>
      <c r="J1056" s="46"/>
      <c r="K1056" s="46"/>
      <c r="L1056" s="46"/>
      <c r="M1056" s="46"/>
      <c r="N1056" s="46"/>
      <c r="O1056" s="46"/>
      <c r="P1056" s="46"/>
      <c r="Q1056" s="46"/>
      <c r="R1056" s="46"/>
      <c r="S1056" s="46"/>
      <c r="T1056" s="46"/>
      <c r="U1056" s="46"/>
      <c r="V1056" s="46"/>
      <c r="W1056" s="46"/>
      <c r="X1056" s="46"/>
      <c r="Y1056" s="46"/>
      <c r="Z1056" s="46"/>
      <c r="AA1056" s="46"/>
      <c r="AB1056" s="46"/>
      <c r="AC1056" s="46"/>
      <c r="AD1056" s="46"/>
      <c r="AE1056" s="46"/>
      <c r="AF1056" s="46"/>
    </row>
    <row r="1057" spans="1:32" ht="10.199999999999999">
      <c r="A1057" s="46"/>
      <c r="B1057" s="46"/>
      <c r="C1057" s="46"/>
      <c r="D1057" s="46"/>
      <c r="E1057" s="46"/>
      <c r="F1057" s="46"/>
      <c r="G1057" s="46"/>
      <c r="H1057" s="46"/>
      <c r="I1057" s="46"/>
      <c r="J1057" s="46"/>
      <c r="K1057" s="46"/>
      <c r="L1057" s="46"/>
      <c r="M1057" s="46"/>
      <c r="N1057" s="46"/>
      <c r="O1057" s="46"/>
      <c r="P1057" s="46"/>
      <c r="Q1057" s="46"/>
      <c r="R1057" s="46"/>
      <c r="S1057" s="46"/>
      <c r="T1057" s="46"/>
      <c r="U1057" s="46"/>
      <c r="V1057" s="46"/>
      <c r="W1057" s="46"/>
      <c r="X1057" s="46"/>
      <c r="Y1057" s="46"/>
      <c r="Z1057" s="46"/>
      <c r="AA1057" s="46"/>
      <c r="AB1057" s="46"/>
      <c r="AC1057" s="46"/>
      <c r="AD1057" s="46"/>
      <c r="AE1057" s="46"/>
      <c r="AF1057" s="46"/>
    </row>
    <row r="1058" spans="1:32" ht="10.199999999999999">
      <c r="A1058" s="46"/>
      <c r="B1058" s="46"/>
      <c r="C1058" s="46"/>
      <c r="D1058" s="46"/>
      <c r="E1058" s="46"/>
      <c r="F1058" s="46"/>
      <c r="G1058" s="46"/>
      <c r="H1058" s="46"/>
      <c r="I1058" s="46"/>
      <c r="J1058" s="46"/>
      <c r="K1058" s="46"/>
      <c r="L1058" s="46"/>
      <c r="M1058" s="46"/>
      <c r="N1058" s="46"/>
      <c r="O1058" s="46"/>
      <c r="P1058" s="46"/>
      <c r="Q1058" s="46"/>
      <c r="R1058" s="46"/>
      <c r="S1058" s="46"/>
      <c r="T1058" s="46"/>
      <c r="U1058" s="46"/>
      <c r="V1058" s="46"/>
      <c r="W1058" s="46"/>
      <c r="X1058" s="46"/>
      <c r="Y1058" s="46"/>
      <c r="Z1058" s="46"/>
      <c r="AA1058" s="46"/>
      <c r="AB1058" s="46"/>
      <c r="AC1058" s="46"/>
      <c r="AD1058" s="46"/>
      <c r="AE1058" s="46"/>
      <c r="AF1058" s="46"/>
    </row>
    <row r="1059" spans="1:32" ht="10.199999999999999">
      <c r="A1059" s="46"/>
      <c r="B1059" s="46"/>
      <c r="C1059" s="46"/>
      <c r="D1059" s="46"/>
      <c r="E1059" s="46"/>
      <c r="F1059" s="46"/>
      <c r="G1059" s="46"/>
      <c r="H1059" s="46"/>
      <c r="I1059" s="46"/>
      <c r="J1059" s="46"/>
      <c r="K1059" s="46"/>
      <c r="L1059" s="46"/>
      <c r="M1059" s="46"/>
      <c r="N1059" s="46"/>
      <c r="O1059" s="46"/>
      <c r="P1059" s="46"/>
      <c r="Q1059" s="46"/>
      <c r="R1059" s="46"/>
      <c r="S1059" s="46"/>
      <c r="T1059" s="46"/>
      <c r="U1059" s="46"/>
      <c r="V1059" s="46"/>
      <c r="W1059" s="46"/>
      <c r="X1059" s="46"/>
      <c r="Y1059" s="46"/>
      <c r="Z1059" s="46"/>
      <c r="AA1059" s="46"/>
      <c r="AB1059" s="46"/>
      <c r="AC1059" s="46"/>
      <c r="AD1059" s="46"/>
      <c r="AE1059" s="46"/>
      <c r="AF1059" s="46"/>
    </row>
    <row r="1060" spans="1:32" ht="10.199999999999999">
      <c r="A1060" s="46"/>
      <c r="B1060" s="46"/>
      <c r="C1060" s="46"/>
      <c r="D1060" s="46"/>
      <c r="E1060" s="46"/>
      <c r="F1060" s="46"/>
      <c r="G1060" s="46"/>
      <c r="H1060" s="46"/>
      <c r="I1060" s="46"/>
      <c r="J1060" s="46"/>
      <c r="K1060" s="46"/>
      <c r="L1060" s="46"/>
      <c r="M1060" s="46"/>
      <c r="N1060" s="46"/>
      <c r="O1060" s="46"/>
      <c r="P1060" s="46"/>
      <c r="Q1060" s="46"/>
      <c r="R1060" s="46"/>
      <c r="S1060" s="46"/>
      <c r="T1060" s="46"/>
      <c r="U1060" s="46"/>
      <c r="V1060" s="46"/>
      <c r="W1060" s="46"/>
      <c r="X1060" s="46"/>
      <c r="Y1060" s="46"/>
      <c r="Z1060" s="46"/>
      <c r="AA1060" s="46"/>
      <c r="AB1060" s="46"/>
      <c r="AC1060" s="46"/>
      <c r="AD1060" s="46"/>
      <c r="AE1060" s="46"/>
      <c r="AF1060" s="46"/>
    </row>
    <row r="1061" spans="1:32" ht="10.199999999999999">
      <c r="A1061" s="46"/>
      <c r="B1061" s="46"/>
      <c r="C1061" s="46"/>
      <c r="D1061" s="46"/>
      <c r="E1061" s="46"/>
      <c r="F1061" s="46"/>
      <c r="G1061" s="46"/>
      <c r="H1061" s="46"/>
      <c r="I1061" s="46"/>
      <c r="J1061" s="46"/>
      <c r="K1061" s="46"/>
      <c r="L1061" s="46"/>
      <c r="M1061" s="46"/>
      <c r="N1061" s="46"/>
      <c r="O1061" s="46"/>
      <c r="P1061" s="46"/>
      <c r="Q1061" s="46"/>
      <c r="R1061" s="46"/>
      <c r="S1061" s="46"/>
      <c r="T1061" s="46"/>
      <c r="U1061" s="46"/>
      <c r="V1061" s="46"/>
      <c r="W1061" s="46"/>
      <c r="X1061" s="46"/>
      <c r="Y1061" s="46"/>
      <c r="Z1061" s="46"/>
      <c r="AA1061" s="46"/>
      <c r="AB1061" s="46"/>
      <c r="AC1061" s="46"/>
      <c r="AD1061" s="46"/>
      <c r="AE1061" s="46"/>
      <c r="AF1061" s="46"/>
    </row>
    <row r="1062" spans="1:32" ht="10.199999999999999">
      <c r="A1062" s="46"/>
      <c r="B1062" s="46"/>
      <c r="C1062" s="46"/>
      <c r="D1062" s="46"/>
      <c r="E1062" s="46"/>
      <c r="F1062" s="46"/>
      <c r="G1062" s="46"/>
      <c r="H1062" s="46"/>
      <c r="I1062" s="46"/>
      <c r="J1062" s="46"/>
      <c r="K1062" s="46"/>
      <c r="L1062" s="46"/>
      <c r="M1062" s="46"/>
      <c r="N1062" s="46"/>
      <c r="O1062" s="46"/>
      <c r="P1062" s="46"/>
      <c r="Q1062" s="46"/>
      <c r="R1062" s="46"/>
      <c r="S1062" s="46"/>
      <c r="T1062" s="46"/>
      <c r="U1062" s="46"/>
      <c r="V1062" s="46"/>
      <c r="W1062" s="46"/>
      <c r="X1062" s="46"/>
      <c r="Y1062" s="46"/>
      <c r="Z1062" s="46"/>
      <c r="AA1062" s="46"/>
      <c r="AB1062" s="46"/>
      <c r="AC1062" s="46"/>
      <c r="AD1062" s="46"/>
      <c r="AE1062" s="46"/>
      <c r="AF1062" s="46"/>
    </row>
    <row r="1063" spans="1:32" ht="10.199999999999999">
      <c r="A1063" s="46"/>
      <c r="B1063" s="46"/>
      <c r="C1063" s="46"/>
      <c r="D1063" s="46"/>
      <c r="E1063" s="46"/>
      <c r="F1063" s="46"/>
      <c r="G1063" s="46"/>
      <c r="H1063" s="46"/>
      <c r="I1063" s="46"/>
      <c r="J1063" s="46"/>
      <c r="K1063" s="46"/>
      <c r="L1063" s="46"/>
      <c r="M1063" s="46"/>
      <c r="N1063" s="46"/>
      <c r="O1063" s="46"/>
      <c r="P1063" s="46"/>
      <c r="Q1063" s="46"/>
      <c r="R1063" s="46"/>
      <c r="S1063" s="46"/>
      <c r="T1063" s="46"/>
      <c r="U1063" s="46"/>
      <c r="V1063" s="46"/>
      <c r="W1063" s="46"/>
      <c r="X1063" s="46"/>
      <c r="Y1063" s="46"/>
      <c r="Z1063" s="46"/>
      <c r="AA1063" s="46"/>
      <c r="AB1063" s="46"/>
      <c r="AC1063" s="46"/>
      <c r="AD1063" s="46"/>
      <c r="AE1063" s="46"/>
      <c r="AF1063" s="46"/>
    </row>
    <row r="1064" spans="1:32" ht="10.199999999999999">
      <c r="A1064" s="46"/>
      <c r="B1064" s="46"/>
      <c r="C1064" s="46"/>
      <c r="D1064" s="46"/>
      <c r="E1064" s="46"/>
      <c r="F1064" s="46"/>
      <c r="G1064" s="46"/>
      <c r="H1064" s="46"/>
      <c r="I1064" s="46"/>
      <c r="J1064" s="46"/>
      <c r="K1064" s="46"/>
      <c r="L1064" s="46"/>
      <c r="M1064" s="46"/>
      <c r="N1064" s="46"/>
      <c r="O1064" s="46"/>
      <c r="P1064" s="46"/>
      <c r="Q1064" s="46"/>
      <c r="R1064" s="46"/>
      <c r="S1064" s="46"/>
      <c r="T1064" s="46"/>
      <c r="U1064" s="46"/>
      <c r="V1064" s="46"/>
      <c r="W1064" s="46"/>
      <c r="X1064" s="46"/>
      <c r="Y1064" s="46"/>
      <c r="Z1064" s="46"/>
      <c r="AA1064" s="46"/>
      <c r="AB1064" s="46"/>
      <c r="AC1064" s="46"/>
      <c r="AD1064" s="46"/>
      <c r="AE1064" s="46"/>
      <c r="AF1064" s="46"/>
    </row>
    <row r="1065" spans="1:32" ht="10.199999999999999">
      <c r="A1065" s="46"/>
      <c r="B1065" s="46"/>
      <c r="C1065" s="46"/>
      <c r="D1065" s="46"/>
      <c r="E1065" s="46"/>
      <c r="F1065" s="46"/>
      <c r="G1065" s="46"/>
      <c r="H1065" s="46"/>
      <c r="I1065" s="46"/>
      <c r="J1065" s="46"/>
      <c r="K1065" s="46"/>
      <c r="L1065" s="46"/>
      <c r="M1065" s="46"/>
      <c r="N1065" s="46"/>
      <c r="O1065" s="46"/>
      <c r="P1065" s="46"/>
      <c r="Q1065" s="46"/>
      <c r="R1065" s="46"/>
      <c r="S1065" s="46"/>
      <c r="T1065" s="46"/>
      <c r="U1065" s="46"/>
      <c r="V1065" s="46"/>
      <c r="W1065" s="46"/>
      <c r="X1065" s="46"/>
      <c r="Y1065" s="46"/>
      <c r="Z1065" s="46"/>
      <c r="AA1065" s="46"/>
      <c r="AB1065" s="46"/>
      <c r="AC1065" s="46"/>
      <c r="AD1065" s="46"/>
      <c r="AE1065" s="46"/>
      <c r="AF1065" s="46"/>
    </row>
    <row r="1066" spans="1:32" ht="10.199999999999999">
      <c r="A1066" s="46"/>
      <c r="B1066" s="46"/>
      <c r="C1066" s="46"/>
      <c r="D1066" s="46"/>
      <c r="E1066" s="46"/>
      <c r="F1066" s="46"/>
      <c r="G1066" s="46"/>
      <c r="H1066" s="46"/>
      <c r="I1066" s="46"/>
      <c r="J1066" s="46"/>
      <c r="K1066" s="46"/>
      <c r="L1066" s="46"/>
      <c r="M1066" s="46"/>
      <c r="N1066" s="46"/>
      <c r="O1066" s="46"/>
      <c r="P1066" s="46"/>
      <c r="Q1066" s="46"/>
      <c r="R1066" s="46"/>
      <c r="S1066" s="46"/>
      <c r="T1066" s="46"/>
      <c r="U1066" s="46"/>
      <c r="V1066" s="46"/>
      <c r="W1066" s="46"/>
      <c r="X1066" s="46"/>
      <c r="Y1066" s="46"/>
      <c r="Z1066" s="46"/>
      <c r="AA1066" s="46"/>
      <c r="AB1066" s="46"/>
      <c r="AC1066" s="46"/>
      <c r="AD1066" s="46"/>
      <c r="AE1066" s="46"/>
      <c r="AF1066" s="46"/>
    </row>
    <row r="1067" spans="1:32" ht="10.199999999999999">
      <c r="A1067" s="46"/>
      <c r="B1067" s="46"/>
      <c r="C1067" s="46"/>
      <c r="D1067" s="46"/>
      <c r="E1067" s="46"/>
      <c r="F1067" s="46"/>
      <c r="G1067" s="46"/>
      <c r="H1067" s="46"/>
      <c r="I1067" s="46"/>
      <c r="J1067" s="46"/>
      <c r="K1067" s="46"/>
      <c r="L1067" s="46"/>
      <c r="M1067" s="46"/>
      <c r="N1067" s="46"/>
      <c r="O1067" s="46"/>
      <c r="P1067" s="46"/>
      <c r="Q1067" s="46"/>
      <c r="R1067" s="46"/>
      <c r="S1067" s="46"/>
      <c r="T1067" s="46"/>
      <c r="U1067" s="46"/>
      <c r="V1067" s="46"/>
      <c r="W1067" s="46"/>
      <c r="X1067" s="46"/>
      <c r="Y1067" s="46"/>
      <c r="Z1067" s="46"/>
      <c r="AA1067" s="46"/>
      <c r="AB1067" s="46"/>
      <c r="AC1067" s="46"/>
      <c r="AD1067" s="46"/>
      <c r="AE1067" s="46"/>
      <c r="AF1067" s="46"/>
    </row>
    <row r="1068" spans="1:32" ht="10.199999999999999">
      <c r="A1068" s="46"/>
      <c r="B1068" s="46"/>
      <c r="C1068" s="46"/>
      <c r="D1068" s="46"/>
      <c r="E1068" s="46"/>
      <c r="F1068" s="46"/>
      <c r="G1068" s="46"/>
      <c r="H1068" s="46"/>
      <c r="I1068" s="46"/>
      <c r="J1068" s="46"/>
      <c r="K1068" s="46"/>
      <c r="L1068" s="46"/>
      <c r="M1068" s="46"/>
      <c r="N1068" s="46"/>
      <c r="O1068" s="46"/>
      <c r="P1068" s="46"/>
      <c r="Q1068" s="46"/>
      <c r="R1068" s="46"/>
      <c r="S1068" s="46"/>
      <c r="T1068" s="46"/>
      <c r="U1068" s="46"/>
      <c r="V1068" s="46"/>
      <c r="W1068" s="46"/>
      <c r="X1068" s="46"/>
      <c r="Y1068" s="46"/>
      <c r="Z1068" s="46"/>
      <c r="AA1068" s="46"/>
      <c r="AB1068" s="46"/>
      <c r="AC1068" s="46"/>
      <c r="AD1068" s="46"/>
      <c r="AE1068" s="46"/>
      <c r="AF1068" s="46"/>
    </row>
    <row r="1069" spans="1:32" ht="10.199999999999999">
      <c r="A1069" s="46"/>
      <c r="B1069" s="46"/>
      <c r="C1069" s="46"/>
      <c r="D1069" s="46"/>
      <c r="E1069" s="46"/>
      <c r="F1069" s="46"/>
      <c r="G1069" s="46"/>
      <c r="H1069" s="46"/>
      <c r="I1069" s="46"/>
      <c r="J1069" s="46"/>
      <c r="K1069" s="46"/>
      <c r="L1069" s="46"/>
      <c r="M1069" s="46"/>
      <c r="N1069" s="46"/>
      <c r="O1069" s="46"/>
      <c r="P1069" s="46"/>
      <c r="Q1069" s="46"/>
      <c r="R1069" s="46"/>
      <c r="S1069" s="46"/>
      <c r="T1069" s="46"/>
      <c r="U1069" s="46"/>
      <c r="V1069" s="46"/>
      <c r="W1069" s="46"/>
      <c r="X1069" s="46"/>
      <c r="Y1069" s="46"/>
      <c r="Z1069" s="46"/>
      <c r="AA1069" s="46"/>
      <c r="AB1069" s="46"/>
      <c r="AC1069" s="46"/>
      <c r="AD1069" s="46"/>
      <c r="AE1069" s="46"/>
      <c r="AF1069" s="46"/>
    </row>
    <row r="1070" spans="1:32" ht="10.199999999999999">
      <c r="A1070" s="46"/>
      <c r="B1070" s="46"/>
      <c r="C1070" s="46"/>
      <c r="D1070" s="46"/>
      <c r="E1070" s="46"/>
      <c r="F1070" s="46"/>
      <c r="G1070" s="46"/>
      <c r="H1070" s="46"/>
      <c r="I1070" s="46"/>
      <c r="J1070" s="46"/>
      <c r="K1070" s="46"/>
      <c r="L1070" s="46"/>
      <c r="M1070" s="46"/>
      <c r="N1070" s="46"/>
      <c r="O1070" s="46"/>
      <c r="P1070" s="46"/>
      <c r="Q1070" s="46"/>
      <c r="R1070" s="46"/>
      <c r="S1070" s="46"/>
      <c r="T1070" s="46"/>
      <c r="U1070" s="46"/>
      <c r="V1070" s="46"/>
      <c r="W1070" s="46"/>
      <c r="X1070" s="46"/>
      <c r="Y1070" s="46"/>
      <c r="Z1070" s="46"/>
      <c r="AA1070" s="46"/>
      <c r="AB1070" s="46"/>
      <c r="AC1070" s="46"/>
      <c r="AD1070" s="46"/>
      <c r="AE1070" s="46"/>
      <c r="AF1070" s="46"/>
    </row>
    <row r="1071" spans="1:32" ht="10.199999999999999">
      <c r="A1071" s="46"/>
      <c r="B1071" s="46"/>
      <c r="C1071" s="46"/>
      <c r="D1071" s="46"/>
      <c r="E1071" s="46"/>
      <c r="F1071" s="46"/>
      <c r="G1071" s="46"/>
      <c r="H1071" s="46"/>
      <c r="I1071" s="46"/>
      <c r="J1071" s="46"/>
      <c r="K1071" s="46"/>
      <c r="L1071" s="46"/>
      <c r="M1071" s="46"/>
      <c r="N1071" s="46"/>
      <c r="O1071" s="46"/>
      <c r="P1071" s="46"/>
      <c r="Q1071" s="46"/>
      <c r="R1071" s="46"/>
      <c r="S1071" s="46"/>
      <c r="T1071" s="46"/>
      <c r="U1071" s="46"/>
      <c r="V1071" s="46"/>
      <c r="W1071" s="46"/>
      <c r="X1071" s="46"/>
      <c r="Y1071" s="46"/>
      <c r="Z1071" s="46"/>
      <c r="AA1071" s="46"/>
      <c r="AB1071" s="46"/>
      <c r="AC1071" s="46"/>
      <c r="AD1071" s="46"/>
      <c r="AE1071" s="46"/>
      <c r="AF1071" s="46"/>
    </row>
    <row r="1072" spans="1:32" ht="10.199999999999999">
      <c r="A1072" s="46"/>
      <c r="B1072" s="46"/>
      <c r="C1072" s="46"/>
      <c r="D1072" s="46"/>
      <c r="E1072" s="46"/>
      <c r="F1072" s="46"/>
      <c r="G1072" s="46"/>
      <c r="H1072" s="46"/>
      <c r="I1072" s="46"/>
      <c r="J1072" s="46"/>
      <c r="K1072" s="46"/>
      <c r="L1072" s="46"/>
      <c r="M1072" s="46"/>
      <c r="N1072" s="46"/>
      <c r="O1072" s="46"/>
      <c r="P1072" s="46"/>
      <c r="Q1072" s="46"/>
      <c r="R1072" s="46"/>
      <c r="S1072" s="46"/>
      <c r="T1072" s="46"/>
      <c r="U1072" s="46"/>
      <c r="V1072" s="46"/>
      <c r="W1072" s="46"/>
      <c r="X1072" s="46"/>
      <c r="Y1072" s="46"/>
      <c r="Z1072" s="46"/>
      <c r="AA1072" s="46"/>
      <c r="AB1072" s="46"/>
      <c r="AC1072" s="46"/>
      <c r="AD1072" s="46"/>
      <c r="AE1072" s="46"/>
      <c r="AF1072" s="46"/>
    </row>
    <row r="1073" spans="1:32" ht="10.199999999999999">
      <c r="A1073" s="46"/>
      <c r="B1073" s="46"/>
      <c r="C1073" s="46"/>
      <c r="D1073" s="46"/>
      <c r="E1073" s="46"/>
      <c r="F1073" s="46"/>
      <c r="G1073" s="46"/>
      <c r="H1073" s="46"/>
      <c r="I1073" s="46"/>
      <c r="J1073" s="46"/>
      <c r="K1073" s="46"/>
      <c r="L1073" s="46"/>
      <c r="M1073" s="46"/>
      <c r="N1073" s="46"/>
      <c r="O1073" s="46"/>
      <c r="P1073" s="46"/>
      <c r="Q1073" s="46"/>
      <c r="R1073" s="46"/>
      <c r="S1073" s="46"/>
      <c r="T1073" s="46"/>
      <c r="U1073" s="46"/>
      <c r="V1073" s="46"/>
      <c r="W1073" s="46"/>
      <c r="X1073" s="46"/>
      <c r="Y1073" s="46"/>
      <c r="Z1073" s="46"/>
      <c r="AA1073" s="46"/>
      <c r="AB1073" s="46"/>
      <c r="AC1073" s="46"/>
      <c r="AD1073" s="46"/>
      <c r="AE1073" s="46"/>
      <c r="AF1073" s="46"/>
    </row>
    <row r="1074" spans="1:32" ht="10.199999999999999">
      <c r="A1074" s="46"/>
      <c r="B1074" s="46"/>
      <c r="C1074" s="46"/>
      <c r="D1074" s="46"/>
      <c r="E1074" s="46"/>
      <c r="F1074" s="46"/>
      <c r="G1074" s="46"/>
      <c r="H1074" s="46"/>
      <c r="I1074" s="46"/>
      <c r="J1074" s="46"/>
      <c r="K1074" s="46"/>
      <c r="L1074" s="46"/>
      <c r="M1074" s="46"/>
      <c r="N1074" s="46"/>
      <c r="O1074" s="46"/>
      <c r="P1074" s="46"/>
      <c r="Q1074" s="46"/>
      <c r="R1074" s="46"/>
      <c r="S1074" s="46"/>
      <c r="T1074" s="46"/>
      <c r="U1074" s="46"/>
      <c r="V1074" s="46"/>
      <c r="W1074" s="46"/>
      <c r="X1074" s="46"/>
      <c r="Y1074" s="46"/>
      <c r="Z1074" s="46"/>
      <c r="AA1074" s="46"/>
      <c r="AB1074" s="46"/>
      <c r="AC1074" s="46"/>
      <c r="AD1074" s="46"/>
      <c r="AE1074" s="46"/>
      <c r="AF1074" s="46"/>
    </row>
    <row r="1075" spans="1:32" ht="10.199999999999999">
      <c r="A1075" s="46"/>
      <c r="B1075" s="46"/>
      <c r="C1075" s="46"/>
      <c r="D1075" s="46"/>
      <c r="E1075" s="46"/>
      <c r="F1075" s="46"/>
      <c r="G1075" s="46"/>
      <c r="H1075" s="46"/>
      <c r="I1075" s="46"/>
      <c r="J1075" s="46"/>
      <c r="K1075" s="46"/>
      <c r="L1075" s="46"/>
      <c r="M1075" s="46"/>
      <c r="N1075" s="46"/>
      <c r="O1075" s="46"/>
      <c r="P1075" s="46"/>
      <c r="Q1075" s="46"/>
      <c r="R1075" s="46"/>
      <c r="S1075" s="46"/>
      <c r="T1075" s="46"/>
      <c r="U1075" s="46"/>
      <c r="V1075" s="46"/>
      <c r="W1075" s="46"/>
      <c r="X1075" s="46"/>
      <c r="Y1075" s="46"/>
      <c r="Z1075" s="46"/>
      <c r="AA1075" s="46"/>
      <c r="AB1075" s="46"/>
      <c r="AC1075" s="46"/>
      <c r="AD1075" s="46"/>
      <c r="AE1075" s="46"/>
      <c r="AF1075" s="46"/>
    </row>
    <row r="1076" spans="1:32" ht="10.199999999999999">
      <c r="A1076" s="46"/>
      <c r="B1076" s="46"/>
      <c r="C1076" s="46"/>
      <c r="D1076" s="46"/>
      <c r="E1076" s="46"/>
      <c r="F1076" s="46"/>
      <c r="G1076" s="46"/>
      <c r="H1076" s="46"/>
      <c r="I1076" s="46"/>
      <c r="J1076" s="46"/>
      <c r="K1076" s="46"/>
      <c r="L1076" s="46"/>
      <c r="M1076" s="46"/>
      <c r="N1076" s="46"/>
      <c r="O1076" s="46"/>
      <c r="P1076" s="46"/>
      <c r="Q1076" s="46"/>
      <c r="R1076" s="46"/>
      <c r="S1076" s="46"/>
      <c r="T1076" s="46"/>
      <c r="U1076" s="46"/>
      <c r="V1076" s="46"/>
      <c r="W1076" s="46"/>
      <c r="X1076" s="46"/>
      <c r="Y1076" s="46"/>
      <c r="Z1076" s="46"/>
      <c r="AA1076" s="46"/>
      <c r="AB1076" s="46"/>
      <c r="AC1076" s="46"/>
      <c r="AD1076" s="46"/>
      <c r="AE1076" s="46"/>
      <c r="AF1076" s="46"/>
    </row>
    <row r="1077" spans="1:32" ht="10.199999999999999">
      <c r="A1077" s="46"/>
      <c r="B1077" s="46"/>
      <c r="C1077" s="46"/>
      <c r="D1077" s="46"/>
      <c r="E1077" s="46"/>
      <c r="F1077" s="46"/>
      <c r="G1077" s="46"/>
      <c r="H1077" s="46"/>
      <c r="I1077" s="46"/>
      <c r="J1077" s="46"/>
      <c r="K1077" s="46"/>
      <c r="L1077" s="46"/>
      <c r="M1077" s="46"/>
      <c r="N1077" s="46"/>
      <c r="O1077" s="46"/>
      <c r="P1077" s="46"/>
      <c r="Q1077" s="46"/>
      <c r="R1077" s="46"/>
      <c r="S1077" s="46"/>
      <c r="T1077" s="46"/>
      <c r="U1077" s="46"/>
      <c r="V1077" s="46"/>
      <c r="W1077" s="46"/>
      <c r="X1077" s="46"/>
      <c r="Y1077" s="46"/>
      <c r="Z1077" s="46"/>
      <c r="AA1077" s="46"/>
      <c r="AB1077" s="46"/>
      <c r="AC1077" s="46"/>
      <c r="AD1077" s="46"/>
      <c r="AE1077" s="46"/>
      <c r="AF1077" s="46"/>
    </row>
    <row r="1078" spans="1:32" ht="10.199999999999999">
      <c r="A1078" s="46"/>
      <c r="B1078" s="46"/>
      <c r="C1078" s="46"/>
      <c r="D1078" s="46"/>
      <c r="E1078" s="46"/>
      <c r="F1078" s="46"/>
      <c r="G1078" s="46"/>
      <c r="H1078" s="46"/>
      <c r="I1078" s="46"/>
      <c r="J1078" s="46"/>
      <c r="K1078" s="46"/>
      <c r="L1078" s="46"/>
      <c r="M1078" s="46"/>
      <c r="N1078" s="46"/>
      <c r="O1078" s="46"/>
      <c r="P1078" s="46"/>
      <c r="Q1078" s="46"/>
      <c r="R1078" s="46"/>
      <c r="S1078" s="46"/>
      <c r="T1078" s="46"/>
      <c r="U1078" s="46"/>
      <c r="V1078" s="46"/>
      <c r="W1078" s="46"/>
      <c r="X1078" s="46"/>
      <c r="Y1078" s="46"/>
      <c r="Z1078" s="46"/>
      <c r="AA1078" s="46"/>
      <c r="AB1078" s="46"/>
      <c r="AC1078" s="46"/>
      <c r="AD1078" s="46"/>
      <c r="AE1078" s="46"/>
      <c r="AF1078" s="46"/>
    </row>
    <row r="1079" spans="1:32" ht="10.199999999999999">
      <c r="A1079" s="46"/>
      <c r="B1079" s="46"/>
      <c r="C1079" s="46"/>
      <c r="D1079" s="46"/>
      <c r="E1079" s="46"/>
      <c r="F1079" s="46"/>
      <c r="G1079" s="46"/>
      <c r="H1079" s="46"/>
      <c r="I1079" s="46"/>
      <c r="J1079" s="46"/>
      <c r="K1079" s="46"/>
      <c r="L1079" s="46"/>
      <c r="M1079" s="46"/>
      <c r="N1079" s="46"/>
      <c r="O1079" s="46"/>
      <c r="P1079" s="46"/>
      <c r="Q1079" s="46"/>
      <c r="R1079" s="46"/>
      <c r="S1079" s="46"/>
      <c r="T1079" s="46"/>
      <c r="U1079" s="46"/>
      <c r="V1079" s="46"/>
      <c r="W1079" s="46"/>
      <c r="X1079" s="46"/>
      <c r="Y1079" s="46"/>
      <c r="Z1079" s="46"/>
      <c r="AA1079" s="46"/>
      <c r="AB1079" s="46"/>
      <c r="AC1079" s="46"/>
      <c r="AD1079" s="46"/>
      <c r="AE1079" s="46"/>
      <c r="AF1079" s="46"/>
    </row>
    <row r="1080" spans="1:32" ht="10.199999999999999">
      <c r="A1080" s="46"/>
      <c r="B1080" s="46"/>
      <c r="C1080" s="46"/>
      <c r="D1080" s="46"/>
      <c r="E1080" s="46"/>
      <c r="F1080" s="46"/>
      <c r="G1080" s="46"/>
      <c r="H1080" s="46"/>
      <c r="I1080" s="46"/>
      <c r="J1080" s="46"/>
      <c r="K1080" s="46"/>
      <c r="L1080" s="46"/>
      <c r="M1080" s="46"/>
      <c r="N1080" s="46"/>
      <c r="O1080" s="46"/>
      <c r="P1080" s="46"/>
      <c r="Q1080" s="46"/>
      <c r="R1080" s="46"/>
      <c r="S1080" s="46"/>
      <c r="T1080" s="46"/>
      <c r="U1080" s="46"/>
      <c r="V1080" s="46"/>
      <c r="W1080" s="46"/>
      <c r="X1080" s="46"/>
      <c r="Y1080" s="46"/>
      <c r="Z1080" s="46"/>
      <c r="AA1080" s="46"/>
      <c r="AB1080" s="46"/>
      <c r="AC1080" s="46"/>
      <c r="AD1080" s="46"/>
      <c r="AE1080" s="46"/>
      <c r="AF1080" s="46"/>
    </row>
    <row r="1081" spans="1:32" ht="10.199999999999999">
      <c r="A1081" s="46"/>
      <c r="B1081" s="46"/>
      <c r="C1081" s="46"/>
      <c r="D1081" s="46"/>
      <c r="E1081" s="46"/>
      <c r="F1081" s="46"/>
      <c r="G1081" s="46"/>
      <c r="H1081" s="46"/>
      <c r="I1081" s="46"/>
      <c r="J1081" s="46"/>
      <c r="K1081" s="46"/>
      <c r="L1081" s="46"/>
      <c r="M1081" s="46"/>
      <c r="N1081" s="46"/>
      <c r="O1081" s="46"/>
      <c r="P1081" s="46"/>
      <c r="Q1081" s="46"/>
      <c r="R1081" s="46"/>
      <c r="S1081" s="46"/>
      <c r="T1081" s="46"/>
      <c r="U1081" s="46"/>
      <c r="V1081" s="46"/>
      <c r="W1081" s="46"/>
      <c r="X1081" s="46"/>
      <c r="Y1081" s="46"/>
      <c r="Z1081" s="46"/>
      <c r="AA1081" s="46"/>
      <c r="AB1081" s="46"/>
      <c r="AC1081" s="46"/>
      <c r="AD1081" s="46"/>
      <c r="AE1081" s="46"/>
      <c r="AF1081" s="46"/>
    </row>
    <row r="1082" spans="1:32" ht="10.199999999999999">
      <c r="A1082" s="46"/>
      <c r="B1082" s="46"/>
      <c r="C1082" s="46"/>
      <c r="D1082" s="46"/>
      <c r="E1082" s="46"/>
      <c r="F1082" s="46"/>
      <c r="G1082" s="46"/>
      <c r="H1082" s="46"/>
      <c r="I1082" s="46"/>
      <c r="J1082" s="46"/>
      <c r="K1082" s="46"/>
      <c r="L1082" s="46"/>
      <c r="M1082" s="46"/>
      <c r="N1082" s="46"/>
      <c r="O1082" s="46"/>
      <c r="P1082" s="46"/>
      <c r="Q1082" s="46"/>
      <c r="R1082" s="46"/>
      <c r="S1082" s="46"/>
      <c r="T1082" s="46"/>
      <c r="U1082" s="46"/>
      <c r="V1082" s="46"/>
      <c r="W1082" s="46"/>
      <c r="X1082" s="46"/>
      <c r="Y1082" s="46"/>
      <c r="Z1082" s="46"/>
      <c r="AA1082" s="46"/>
      <c r="AB1082" s="46"/>
      <c r="AC1082" s="46"/>
      <c r="AD1082" s="46"/>
      <c r="AE1082" s="46"/>
      <c r="AF1082" s="46"/>
    </row>
    <row r="1083" spans="1:32" ht="10.199999999999999">
      <c r="A1083" s="46"/>
      <c r="B1083" s="46"/>
      <c r="C1083" s="46"/>
      <c r="D1083" s="46"/>
      <c r="E1083" s="46"/>
      <c r="F1083" s="46"/>
      <c r="G1083" s="46"/>
      <c r="H1083" s="46"/>
      <c r="I1083" s="46"/>
      <c r="J1083" s="46"/>
      <c r="K1083" s="46"/>
      <c r="L1083" s="46"/>
      <c r="M1083" s="46"/>
      <c r="N1083" s="46"/>
      <c r="O1083" s="46"/>
      <c r="P1083" s="46"/>
      <c r="Q1083" s="46"/>
      <c r="R1083" s="46"/>
      <c r="S1083" s="46"/>
      <c r="T1083" s="46"/>
      <c r="U1083" s="46"/>
      <c r="V1083" s="46"/>
      <c r="W1083" s="46"/>
      <c r="X1083" s="46"/>
      <c r="Y1083" s="46"/>
      <c r="Z1083" s="46"/>
      <c r="AA1083" s="46"/>
      <c r="AB1083" s="46"/>
      <c r="AC1083" s="46"/>
      <c r="AD1083" s="46"/>
      <c r="AE1083" s="46"/>
      <c r="AF1083" s="46"/>
    </row>
    <row r="1084" spans="1:32" ht="10.199999999999999">
      <c r="A1084" s="46"/>
      <c r="B1084" s="46"/>
      <c r="C1084" s="46"/>
      <c r="D1084" s="46"/>
      <c r="E1084" s="46"/>
      <c r="F1084" s="46"/>
      <c r="G1084" s="46"/>
      <c r="H1084" s="46"/>
      <c r="I1084" s="46"/>
      <c r="J1084" s="46"/>
      <c r="K1084" s="46"/>
      <c r="L1084" s="46"/>
      <c r="M1084" s="46"/>
      <c r="N1084" s="46"/>
      <c r="O1084" s="46"/>
      <c r="P1084" s="46"/>
      <c r="Q1084" s="46"/>
      <c r="R1084" s="46"/>
      <c r="S1084" s="46"/>
      <c r="T1084" s="46"/>
      <c r="U1084" s="46"/>
      <c r="V1084" s="46"/>
      <c r="W1084" s="46"/>
      <c r="X1084" s="46"/>
      <c r="Y1084" s="46"/>
      <c r="Z1084" s="46"/>
      <c r="AA1084" s="46"/>
      <c r="AB1084" s="46"/>
      <c r="AC1084" s="46"/>
      <c r="AD1084" s="46"/>
      <c r="AE1084" s="46"/>
      <c r="AF1084" s="46"/>
    </row>
    <row r="1085" spans="1:32" ht="10.199999999999999">
      <c r="A1085" s="46"/>
      <c r="B1085" s="46"/>
      <c r="C1085" s="46"/>
      <c r="D1085" s="46"/>
      <c r="E1085" s="46"/>
      <c r="F1085" s="46"/>
      <c r="G1085" s="46"/>
      <c r="H1085" s="46"/>
      <c r="I1085" s="46"/>
      <c r="J1085" s="46"/>
      <c r="K1085" s="46"/>
      <c r="L1085" s="46"/>
      <c r="M1085" s="46"/>
      <c r="N1085" s="46"/>
      <c r="O1085" s="46"/>
      <c r="P1085" s="46"/>
      <c r="Q1085" s="46"/>
      <c r="R1085" s="46"/>
      <c r="S1085" s="46"/>
      <c r="T1085" s="46"/>
      <c r="U1085" s="46"/>
      <c r="V1085" s="46"/>
      <c r="W1085" s="46"/>
      <c r="X1085" s="46"/>
      <c r="Y1085" s="46"/>
      <c r="Z1085" s="46"/>
      <c r="AA1085" s="46"/>
      <c r="AB1085" s="46"/>
      <c r="AC1085" s="46"/>
      <c r="AD1085" s="46"/>
      <c r="AE1085" s="46"/>
      <c r="AF1085" s="46"/>
    </row>
    <row r="1086" spans="1:32" ht="10.199999999999999">
      <c r="A1086" s="46"/>
      <c r="B1086" s="46"/>
      <c r="C1086" s="46"/>
      <c r="D1086" s="46"/>
      <c r="E1086" s="46"/>
      <c r="F1086" s="46"/>
      <c r="G1086" s="46"/>
      <c r="H1086" s="46"/>
      <c r="I1086" s="46"/>
      <c r="J1086" s="46"/>
      <c r="K1086" s="46"/>
      <c r="L1086" s="46"/>
      <c r="M1086" s="46"/>
      <c r="N1086" s="46"/>
      <c r="O1086" s="46"/>
      <c r="P1086" s="46"/>
      <c r="Q1086" s="46"/>
      <c r="R1086" s="46"/>
      <c r="S1086" s="46"/>
      <c r="T1086" s="46"/>
      <c r="U1086" s="46"/>
      <c r="V1086" s="46"/>
      <c r="W1086" s="46"/>
      <c r="X1086" s="46"/>
      <c r="Y1086" s="46"/>
      <c r="Z1086" s="46"/>
      <c r="AA1086" s="46"/>
      <c r="AB1086" s="46"/>
      <c r="AC1086" s="46"/>
      <c r="AD1086" s="46"/>
      <c r="AE1086" s="46"/>
      <c r="AF1086" s="46"/>
    </row>
    <row r="1087" spans="1:32" ht="10.199999999999999">
      <c r="A1087" s="46"/>
      <c r="B1087" s="46"/>
      <c r="C1087" s="46"/>
      <c r="D1087" s="46"/>
      <c r="E1087" s="46"/>
      <c r="F1087" s="46"/>
      <c r="G1087" s="46"/>
      <c r="H1087" s="46"/>
      <c r="I1087" s="46"/>
      <c r="J1087" s="46"/>
      <c r="K1087" s="46"/>
      <c r="L1087" s="46"/>
      <c r="M1087" s="46"/>
      <c r="N1087" s="46"/>
      <c r="O1087" s="46"/>
      <c r="P1087" s="46"/>
      <c r="Q1087" s="46"/>
      <c r="R1087" s="46"/>
      <c r="S1087" s="46"/>
      <c r="T1087" s="46"/>
      <c r="U1087" s="46"/>
      <c r="V1087" s="46"/>
      <c r="W1087" s="46"/>
      <c r="X1087" s="46"/>
      <c r="Y1087" s="46"/>
      <c r="Z1087" s="46"/>
      <c r="AA1087" s="46"/>
      <c r="AB1087" s="46"/>
      <c r="AC1087" s="46"/>
      <c r="AD1087" s="46"/>
      <c r="AE1087" s="46"/>
      <c r="AF1087" s="46"/>
    </row>
    <row r="1088" spans="1:32" ht="10.199999999999999">
      <c r="A1088" s="46"/>
      <c r="B1088" s="46"/>
      <c r="C1088" s="46"/>
      <c r="D1088" s="46"/>
      <c r="E1088" s="46"/>
      <c r="F1088" s="46"/>
      <c r="G1088" s="46"/>
      <c r="H1088" s="46"/>
      <c r="I1088" s="46"/>
      <c r="J1088" s="46"/>
      <c r="K1088" s="46"/>
      <c r="L1088" s="46"/>
      <c r="M1088" s="46"/>
      <c r="N1088" s="46"/>
      <c r="O1088" s="46"/>
      <c r="P1088" s="46"/>
      <c r="Q1088" s="46"/>
      <c r="R1088" s="46"/>
      <c r="S1088" s="46"/>
      <c r="T1088" s="46"/>
      <c r="U1088" s="46"/>
      <c r="V1088" s="46"/>
      <c r="W1088" s="46"/>
      <c r="X1088" s="46"/>
      <c r="Y1088" s="46"/>
      <c r="Z1088" s="46"/>
      <c r="AA1088" s="46"/>
      <c r="AB1088" s="46"/>
      <c r="AC1088" s="46"/>
      <c r="AD1088" s="46"/>
      <c r="AE1088" s="46"/>
      <c r="AF1088" s="46"/>
    </row>
    <row r="1089" spans="1:32" ht="10.199999999999999">
      <c r="A1089" s="46"/>
      <c r="B1089" s="46"/>
      <c r="C1089" s="46"/>
      <c r="D1089" s="46"/>
      <c r="E1089" s="46"/>
      <c r="F1089" s="46"/>
      <c r="G1089" s="46"/>
      <c r="H1089" s="46"/>
      <c r="I1089" s="46"/>
      <c r="J1089" s="46"/>
      <c r="K1089" s="46"/>
      <c r="L1089" s="46"/>
      <c r="M1089" s="46"/>
      <c r="N1089" s="46"/>
      <c r="O1089" s="46"/>
      <c r="P1089" s="46"/>
      <c r="Q1089" s="46"/>
      <c r="R1089" s="46"/>
      <c r="S1089" s="46"/>
      <c r="T1089" s="46"/>
      <c r="U1089" s="46"/>
      <c r="V1089" s="46"/>
      <c r="W1089" s="46"/>
      <c r="X1089" s="46"/>
      <c r="Y1089" s="46"/>
      <c r="Z1089" s="46"/>
      <c r="AA1089" s="46"/>
      <c r="AB1089" s="46"/>
      <c r="AC1089" s="46"/>
      <c r="AD1089" s="46"/>
      <c r="AE1089" s="46"/>
      <c r="AF1089" s="46"/>
    </row>
    <row r="1090" spans="1:32" ht="10.199999999999999">
      <c r="A1090" s="46"/>
      <c r="B1090" s="46"/>
      <c r="C1090" s="46"/>
      <c r="D1090" s="46"/>
      <c r="E1090" s="46"/>
      <c r="F1090" s="46"/>
      <c r="G1090" s="46"/>
      <c r="H1090" s="46"/>
      <c r="I1090" s="46"/>
      <c r="J1090" s="46"/>
      <c r="K1090" s="46"/>
      <c r="L1090" s="46"/>
      <c r="M1090" s="46"/>
      <c r="N1090" s="46"/>
      <c r="O1090" s="46"/>
      <c r="P1090" s="46"/>
      <c r="Q1090" s="46"/>
      <c r="R1090" s="46"/>
      <c r="S1090" s="46"/>
      <c r="T1090" s="46"/>
      <c r="U1090" s="46"/>
      <c r="V1090" s="46"/>
      <c r="W1090" s="46"/>
      <c r="X1090" s="46"/>
      <c r="Y1090" s="46"/>
      <c r="Z1090" s="46"/>
      <c r="AA1090" s="46"/>
      <c r="AB1090" s="46"/>
      <c r="AC1090" s="46"/>
      <c r="AD1090" s="46"/>
      <c r="AE1090" s="46"/>
      <c r="AF1090" s="46"/>
    </row>
    <row r="1091" spans="1:32" ht="10.199999999999999">
      <c r="A1091" s="46"/>
      <c r="B1091" s="46"/>
      <c r="C1091" s="46"/>
      <c r="D1091" s="46"/>
      <c r="E1091" s="46"/>
      <c r="F1091" s="46"/>
      <c r="G1091" s="46"/>
      <c r="H1091" s="46"/>
      <c r="I1091" s="46"/>
      <c r="J1091" s="46"/>
      <c r="K1091" s="46"/>
      <c r="L1091" s="46"/>
      <c r="M1091" s="46"/>
      <c r="N1091" s="46"/>
      <c r="O1091" s="46"/>
      <c r="P1091" s="46"/>
      <c r="Q1091" s="46"/>
      <c r="R1091" s="46"/>
      <c r="S1091" s="46"/>
      <c r="T1091" s="46"/>
      <c r="U1091" s="46"/>
      <c r="V1091" s="46"/>
      <c r="W1091" s="46"/>
      <c r="X1091" s="46"/>
      <c r="Y1091" s="46"/>
      <c r="Z1091" s="46"/>
      <c r="AA1091" s="46"/>
      <c r="AB1091" s="46"/>
      <c r="AC1091" s="46"/>
      <c r="AD1091" s="46"/>
      <c r="AE1091" s="46"/>
      <c r="AF1091" s="46"/>
    </row>
    <row r="1092" spans="1:32" ht="10.199999999999999">
      <c r="A1092" s="46"/>
      <c r="B1092" s="46"/>
      <c r="C1092" s="46"/>
      <c r="D1092" s="46"/>
      <c r="E1092" s="46"/>
      <c r="F1092" s="46"/>
      <c r="G1092" s="46"/>
      <c r="H1092" s="46"/>
      <c r="I1092" s="46"/>
      <c r="J1092" s="46"/>
      <c r="K1092" s="46"/>
      <c r="L1092" s="46"/>
      <c r="M1092" s="46"/>
      <c r="N1092" s="46"/>
      <c r="O1092" s="46"/>
      <c r="P1092" s="46"/>
      <c r="Q1092" s="46"/>
      <c r="R1092" s="46"/>
      <c r="S1092" s="46"/>
      <c r="T1092" s="46"/>
      <c r="U1092" s="46"/>
      <c r="V1092" s="46"/>
      <c r="W1092" s="46"/>
      <c r="X1092" s="46"/>
      <c r="Y1092" s="46"/>
      <c r="Z1092" s="46"/>
      <c r="AA1092" s="46"/>
      <c r="AB1092" s="46"/>
      <c r="AC1092" s="46"/>
      <c r="AD1092" s="46"/>
      <c r="AE1092" s="46"/>
      <c r="AF1092" s="46"/>
    </row>
    <row r="1093" spans="1:32" ht="10.199999999999999">
      <c r="A1093" s="46"/>
      <c r="B1093" s="46"/>
      <c r="C1093" s="46"/>
      <c r="D1093" s="46"/>
      <c r="E1093" s="46"/>
      <c r="F1093" s="46"/>
      <c r="G1093" s="46"/>
      <c r="H1093" s="46"/>
      <c r="I1093" s="46"/>
      <c r="J1093" s="46"/>
      <c r="K1093" s="46"/>
      <c r="L1093" s="46"/>
      <c r="M1093" s="46"/>
      <c r="N1093" s="46"/>
      <c r="O1093" s="46"/>
      <c r="P1093" s="46"/>
      <c r="Q1093" s="46"/>
      <c r="R1093" s="46"/>
      <c r="S1093" s="46"/>
      <c r="T1093" s="46"/>
      <c r="U1093" s="46"/>
      <c r="V1093" s="46"/>
      <c r="W1093" s="46"/>
      <c r="X1093" s="46"/>
      <c r="Y1093" s="46"/>
      <c r="Z1093" s="46"/>
      <c r="AA1093" s="46"/>
      <c r="AB1093" s="46"/>
      <c r="AC1093" s="46"/>
      <c r="AD1093" s="46"/>
      <c r="AE1093" s="46"/>
      <c r="AF1093" s="46"/>
    </row>
    <row r="1094" spans="1:32" ht="10.199999999999999">
      <c r="A1094" s="46"/>
      <c r="B1094" s="46"/>
      <c r="C1094" s="46"/>
      <c r="D1094" s="46"/>
      <c r="E1094" s="46"/>
      <c r="F1094" s="46"/>
      <c r="G1094" s="46"/>
      <c r="H1094" s="46"/>
      <c r="I1094" s="46"/>
      <c r="J1094" s="46"/>
      <c r="K1094" s="46"/>
      <c r="L1094" s="46"/>
      <c r="M1094" s="46"/>
      <c r="N1094" s="46"/>
      <c r="O1094" s="46"/>
      <c r="P1094" s="46"/>
      <c r="Q1094" s="46"/>
      <c r="R1094" s="46"/>
      <c r="S1094" s="46"/>
      <c r="T1094" s="46"/>
      <c r="U1094" s="46"/>
      <c r="V1094" s="46"/>
      <c r="W1094" s="46"/>
      <c r="X1094" s="46"/>
      <c r="Y1094" s="46"/>
      <c r="Z1094" s="46"/>
      <c r="AA1094" s="46"/>
      <c r="AB1094" s="46"/>
      <c r="AC1094" s="46"/>
      <c r="AD1094" s="46"/>
      <c r="AE1094" s="46"/>
      <c r="AF1094" s="46"/>
    </row>
    <row r="1095" spans="1:32" ht="10.199999999999999">
      <c r="A1095" s="46"/>
      <c r="B1095" s="46"/>
      <c r="C1095" s="46"/>
      <c r="D1095" s="46"/>
      <c r="E1095" s="46"/>
      <c r="F1095" s="46"/>
      <c r="G1095" s="46"/>
      <c r="H1095" s="46"/>
      <c r="I1095" s="46"/>
      <c r="J1095" s="46"/>
      <c r="K1095" s="46"/>
      <c r="L1095" s="46"/>
      <c r="M1095" s="46"/>
      <c r="N1095" s="46"/>
      <c r="O1095" s="46"/>
      <c r="P1095" s="46"/>
      <c r="Q1095" s="46"/>
      <c r="R1095" s="46"/>
      <c r="S1095" s="46"/>
      <c r="T1095" s="46"/>
      <c r="U1095" s="46"/>
      <c r="V1095" s="46"/>
      <c r="W1095" s="46"/>
      <c r="X1095" s="46"/>
      <c r="Y1095" s="46"/>
      <c r="Z1095" s="46"/>
      <c r="AA1095" s="46"/>
      <c r="AB1095" s="46"/>
      <c r="AC1095" s="46"/>
      <c r="AD1095" s="46"/>
      <c r="AE1095" s="46"/>
      <c r="AF1095" s="46"/>
    </row>
    <row r="1096" spans="1:32" ht="10.199999999999999">
      <c r="A1096" s="46"/>
      <c r="B1096" s="46"/>
      <c r="C1096" s="46"/>
      <c r="D1096" s="46"/>
      <c r="E1096" s="46"/>
      <c r="F1096" s="46"/>
      <c r="G1096" s="46"/>
      <c r="H1096" s="46"/>
      <c r="I1096" s="46"/>
      <c r="J1096" s="46"/>
      <c r="K1096" s="46"/>
      <c r="L1096" s="46"/>
      <c r="M1096" s="46"/>
      <c r="N1096" s="46"/>
      <c r="O1096" s="46"/>
      <c r="P1096" s="46"/>
      <c r="Q1096" s="46"/>
      <c r="R1096" s="46"/>
      <c r="S1096" s="46"/>
      <c r="T1096" s="46"/>
      <c r="U1096" s="46"/>
      <c r="V1096" s="46"/>
      <c r="W1096" s="46"/>
      <c r="X1096" s="46"/>
      <c r="Y1096" s="46"/>
      <c r="Z1096" s="46"/>
      <c r="AA1096" s="46"/>
      <c r="AB1096" s="46"/>
      <c r="AC1096" s="46"/>
      <c r="AD1096" s="46"/>
      <c r="AE1096" s="46"/>
      <c r="AF1096" s="46"/>
    </row>
    <row r="1097" spans="1:32" ht="10.199999999999999">
      <c r="A1097" s="46"/>
      <c r="B1097" s="46"/>
      <c r="C1097" s="46"/>
      <c r="D1097" s="46"/>
      <c r="E1097" s="46"/>
      <c r="F1097" s="46"/>
      <c r="G1097" s="46"/>
      <c r="H1097" s="46"/>
      <c r="I1097" s="46"/>
      <c r="J1097" s="46"/>
      <c r="K1097" s="46"/>
      <c r="L1097" s="46"/>
      <c r="M1097" s="46"/>
      <c r="N1097" s="46"/>
      <c r="O1097" s="46"/>
      <c r="P1097" s="46"/>
      <c r="Q1097" s="46"/>
      <c r="R1097" s="46"/>
      <c r="S1097" s="46"/>
      <c r="T1097" s="46"/>
      <c r="U1097" s="46"/>
      <c r="V1097" s="46"/>
      <c r="W1097" s="46"/>
      <c r="X1097" s="46"/>
      <c r="Y1097" s="46"/>
      <c r="Z1097" s="46"/>
      <c r="AA1097" s="46"/>
      <c r="AB1097" s="46"/>
      <c r="AC1097" s="46"/>
      <c r="AD1097" s="46"/>
      <c r="AE1097" s="46"/>
      <c r="AF1097" s="46"/>
    </row>
    <row r="1098" spans="1:32" ht="10.199999999999999">
      <c r="A1098" s="46"/>
      <c r="B1098" s="46"/>
      <c r="C1098" s="46"/>
      <c r="D1098" s="46"/>
      <c r="E1098" s="46"/>
      <c r="F1098" s="46"/>
      <c r="G1098" s="46"/>
      <c r="H1098" s="46"/>
      <c r="I1098" s="46"/>
      <c r="J1098" s="46"/>
      <c r="K1098" s="46"/>
      <c r="L1098" s="46"/>
      <c r="M1098" s="46"/>
      <c r="N1098" s="46"/>
      <c r="O1098" s="46"/>
      <c r="P1098" s="46"/>
      <c r="Q1098" s="46"/>
      <c r="R1098" s="46"/>
      <c r="S1098" s="46"/>
      <c r="T1098" s="46"/>
      <c r="U1098" s="46"/>
      <c r="V1098" s="46"/>
      <c r="W1098" s="46"/>
      <c r="X1098" s="46"/>
      <c r="Y1098" s="46"/>
      <c r="Z1098" s="46"/>
      <c r="AA1098" s="46"/>
      <c r="AB1098" s="46"/>
      <c r="AC1098" s="46"/>
      <c r="AD1098" s="46"/>
      <c r="AE1098" s="46"/>
      <c r="AF1098" s="46"/>
    </row>
    <row r="1099" spans="1:32" ht="10.199999999999999">
      <c r="A1099" s="46"/>
      <c r="B1099" s="46"/>
      <c r="C1099" s="46"/>
      <c r="D1099" s="46"/>
      <c r="E1099" s="46"/>
      <c r="F1099" s="46"/>
      <c r="G1099" s="46"/>
      <c r="H1099" s="46"/>
      <c r="I1099" s="46"/>
      <c r="J1099" s="46"/>
      <c r="K1099" s="46"/>
      <c r="L1099" s="46"/>
      <c r="M1099" s="46"/>
      <c r="N1099" s="46"/>
      <c r="O1099" s="46"/>
      <c r="P1099" s="46"/>
      <c r="Q1099" s="46"/>
      <c r="R1099" s="46"/>
      <c r="S1099" s="46"/>
      <c r="T1099" s="46"/>
      <c r="U1099" s="46"/>
      <c r="V1099" s="46"/>
      <c r="W1099" s="46"/>
      <c r="X1099" s="46"/>
      <c r="Y1099" s="46"/>
      <c r="Z1099" s="46"/>
      <c r="AA1099" s="46"/>
      <c r="AB1099" s="46"/>
      <c r="AC1099" s="46"/>
      <c r="AD1099" s="46"/>
      <c r="AE1099" s="46"/>
      <c r="AF1099" s="46"/>
    </row>
    <row r="1100" spans="1:32" ht="10.199999999999999">
      <c r="A1100" s="46"/>
      <c r="B1100" s="46"/>
      <c r="C1100" s="46"/>
      <c r="D1100" s="46"/>
      <c r="E1100" s="46"/>
      <c r="F1100" s="46"/>
      <c r="G1100" s="46"/>
      <c r="H1100" s="46"/>
      <c r="I1100" s="46"/>
      <c r="J1100" s="46"/>
      <c r="K1100" s="46"/>
      <c r="L1100" s="46"/>
      <c r="M1100" s="46"/>
      <c r="N1100" s="46"/>
      <c r="O1100" s="46"/>
      <c r="P1100" s="46"/>
      <c r="Q1100" s="46"/>
      <c r="R1100" s="46"/>
      <c r="S1100" s="46"/>
      <c r="T1100" s="46"/>
      <c r="U1100" s="46"/>
      <c r="V1100" s="46"/>
      <c r="W1100" s="46"/>
      <c r="X1100" s="46"/>
      <c r="Y1100" s="46"/>
      <c r="Z1100" s="46"/>
      <c r="AA1100" s="46"/>
      <c r="AB1100" s="46"/>
      <c r="AC1100" s="46"/>
      <c r="AD1100" s="46"/>
      <c r="AE1100" s="46"/>
      <c r="AF1100" s="46"/>
    </row>
    <row r="1101" spans="1:32" ht="10.199999999999999">
      <c r="A1101" s="46"/>
      <c r="B1101" s="46"/>
      <c r="C1101" s="46"/>
      <c r="D1101" s="46"/>
      <c r="E1101" s="46"/>
      <c r="F1101" s="46"/>
      <c r="G1101" s="46"/>
      <c r="H1101" s="46"/>
      <c r="I1101" s="46"/>
      <c r="J1101" s="46"/>
      <c r="K1101" s="46"/>
      <c r="L1101" s="46"/>
      <c r="M1101" s="46"/>
      <c r="N1101" s="46"/>
      <c r="O1101" s="46"/>
      <c r="P1101" s="46"/>
      <c r="Q1101" s="46"/>
      <c r="R1101" s="46"/>
      <c r="S1101" s="46"/>
      <c r="T1101" s="46"/>
      <c r="U1101" s="46"/>
      <c r="V1101" s="46"/>
      <c r="W1101" s="46"/>
      <c r="X1101" s="46"/>
      <c r="Y1101" s="46"/>
      <c r="Z1101" s="46"/>
      <c r="AA1101" s="46"/>
      <c r="AB1101" s="46"/>
      <c r="AC1101" s="46"/>
      <c r="AD1101" s="46"/>
      <c r="AE1101" s="46"/>
      <c r="AF1101" s="46"/>
    </row>
    <row r="1102" spans="1:32" ht="10.199999999999999">
      <c r="A1102" s="46"/>
      <c r="B1102" s="46"/>
      <c r="C1102" s="46"/>
      <c r="D1102" s="46"/>
      <c r="E1102" s="46"/>
      <c r="F1102" s="46"/>
      <c r="G1102" s="46"/>
      <c r="H1102" s="46"/>
      <c r="I1102" s="46"/>
      <c r="J1102" s="46"/>
      <c r="K1102" s="46"/>
      <c r="L1102" s="46"/>
      <c r="M1102" s="46"/>
      <c r="N1102" s="46"/>
      <c r="O1102" s="46"/>
      <c r="P1102" s="46"/>
      <c r="Q1102" s="46"/>
      <c r="R1102" s="46"/>
      <c r="S1102" s="46"/>
      <c r="T1102" s="46"/>
      <c r="U1102" s="46"/>
      <c r="V1102" s="46"/>
      <c r="W1102" s="46"/>
      <c r="X1102" s="46"/>
      <c r="Y1102" s="46"/>
      <c r="Z1102" s="46"/>
      <c r="AA1102" s="46"/>
      <c r="AB1102" s="46"/>
      <c r="AC1102" s="46"/>
      <c r="AD1102" s="46"/>
      <c r="AE1102" s="46"/>
      <c r="AF1102" s="46"/>
    </row>
    <row r="1103" spans="1:32" ht="10.199999999999999">
      <c r="A1103" s="46"/>
      <c r="B1103" s="46"/>
      <c r="C1103" s="46"/>
      <c r="D1103" s="46"/>
      <c r="E1103" s="46"/>
      <c r="F1103" s="46"/>
      <c r="G1103" s="46"/>
      <c r="H1103" s="46"/>
      <c r="I1103" s="46"/>
      <c r="J1103" s="46"/>
      <c r="K1103" s="46"/>
      <c r="L1103" s="46"/>
      <c r="M1103" s="46"/>
      <c r="N1103" s="46"/>
      <c r="O1103" s="46"/>
      <c r="P1103" s="46"/>
      <c r="Q1103" s="46"/>
      <c r="R1103" s="46"/>
      <c r="S1103" s="46"/>
      <c r="T1103" s="46"/>
      <c r="U1103" s="46"/>
      <c r="V1103" s="46"/>
      <c r="W1103" s="46"/>
      <c r="X1103" s="46"/>
      <c r="Y1103" s="46"/>
      <c r="Z1103" s="46"/>
      <c r="AA1103" s="46"/>
      <c r="AB1103" s="46"/>
      <c r="AC1103" s="46"/>
      <c r="AD1103" s="46"/>
      <c r="AE1103" s="46"/>
      <c r="AF1103" s="46"/>
    </row>
    <row r="1104" spans="1:32" ht="10.199999999999999">
      <c r="A1104" s="46"/>
      <c r="B1104" s="46"/>
      <c r="C1104" s="46"/>
      <c r="D1104" s="46"/>
      <c r="E1104" s="46"/>
      <c r="F1104" s="46"/>
      <c r="G1104" s="46"/>
      <c r="H1104" s="46"/>
      <c r="I1104" s="46"/>
      <c r="J1104" s="46"/>
      <c r="K1104" s="46"/>
      <c r="L1104" s="46"/>
      <c r="M1104" s="46"/>
      <c r="N1104" s="46"/>
      <c r="O1104" s="46"/>
      <c r="P1104" s="46"/>
      <c r="Q1104" s="46"/>
      <c r="R1104" s="46"/>
      <c r="S1104" s="46"/>
      <c r="T1104" s="46"/>
      <c r="U1104" s="46"/>
      <c r="V1104" s="46"/>
      <c r="W1104" s="46"/>
      <c r="X1104" s="46"/>
      <c r="Y1104" s="46"/>
      <c r="Z1104" s="46"/>
      <c r="AA1104" s="46"/>
      <c r="AB1104" s="46"/>
      <c r="AC1104" s="46"/>
      <c r="AD1104" s="46"/>
      <c r="AE1104" s="46"/>
      <c r="AF1104" s="46"/>
    </row>
    <row r="1105" spans="1:32" ht="10.199999999999999">
      <c r="A1105" s="46"/>
      <c r="B1105" s="46"/>
      <c r="C1105" s="46"/>
      <c r="D1105" s="46"/>
      <c r="E1105" s="46"/>
      <c r="F1105" s="46"/>
      <c r="G1105" s="46"/>
      <c r="H1105" s="46"/>
      <c r="I1105" s="46"/>
      <c r="J1105" s="46"/>
      <c r="K1105" s="46"/>
      <c r="L1105" s="46"/>
      <c r="M1105" s="46"/>
      <c r="N1105" s="46"/>
      <c r="O1105" s="46"/>
      <c r="P1105" s="46"/>
      <c r="Q1105" s="46"/>
      <c r="R1105" s="46"/>
      <c r="S1105" s="46"/>
      <c r="T1105" s="46"/>
      <c r="U1105" s="46"/>
      <c r="V1105" s="46"/>
      <c r="W1105" s="46"/>
      <c r="X1105" s="46"/>
      <c r="Y1105" s="46"/>
      <c r="Z1105" s="46"/>
      <c r="AA1105" s="46"/>
      <c r="AB1105" s="46"/>
      <c r="AC1105" s="46"/>
      <c r="AD1105" s="46"/>
      <c r="AE1105" s="46"/>
      <c r="AF1105" s="46"/>
    </row>
    <row r="1106" spans="1:32" ht="10.199999999999999">
      <c r="A1106" s="46"/>
      <c r="B1106" s="46"/>
      <c r="C1106" s="46"/>
      <c r="D1106" s="46"/>
      <c r="E1106" s="46"/>
      <c r="F1106" s="46"/>
      <c r="G1106" s="46"/>
      <c r="H1106" s="46"/>
      <c r="I1106" s="46"/>
      <c r="J1106" s="46"/>
      <c r="K1106" s="46"/>
      <c r="L1106" s="46"/>
      <c r="M1106" s="46"/>
      <c r="N1106" s="46"/>
      <c r="O1106" s="46"/>
      <c r="P1106" s="46"/>
      <c r="Q1106" s="46"/>
      <c r="R1106" s="46"/>
      <c r="S1106" s="46"/>
      <c r="T1106" s="46"/>
      <c r="U1106" s="46"/>
      <c r="V1106" s="46"/>
      <c r="W1106" s="46"/>
      <c r="X1106" s="46"/>
      <c r="Y1106" s="46"/>
      <c r="Z1106" s="46"/>
      <c r="AA1106" s="46"/>
      <c r="AB1106" s="46"/>
      <c r="AC1106" s="46"/>
      <c r="AD1106" s="46"/>
      <c r="AE1106" s="46"/>
      <c r="AF1106" s="46"/>
    </row>
    <row r="1107" spans="1:32" ht="10.199999999999999">
      <c r="A1107" s="46"/>
      <c r="B1107" s="46"/>
      <c r="C1107" s="46"/>
      <c r="D1107" s="46"/>
      <c r="E1107" s="46"/>
      <c r="F1107" s="46"/>
      <c r="G1107" s="46"/>
      <c r="H1107" s="46"/>
      <c r="I1107" s="46"/>
      <c r="J1107" s="46"/>
      <c r="K1107" s="46"/>
      <c r="L1107" s="46"/>
      <c r="M1107" s="46"/>
      <c r="N1107" s="46"/>
      <c r="O1107" s="46"/>
      <c r="P1107" s="46"/>
      <c r="Q1107" s="46"/>
      <c r="R1107" s="46"/>
      <c r="S1107" s="46"/>
      <c r="T1107" s="46"/>
      <c r="U1107" s="46"/>
      <c r="V1107" s="46"/>
      <c r="W1107" s="46"/>
      <c r="X1107" s="46"/>
      <c r="Y1107" s="46"/>
      <c r="Z1107" s="46"/>
      <c r="AA1107" s="46"/>
      <c r="AB1107" s="46"/>
      <c r="AC1107" s="46"/>
      <c r="AD1107" s="46"/>
      <c r="AE1107" s="46"/>
      <c r="AF1107" s="46"/>
    </row>
    <row r="1108" spans="1:32" ht="10.199999999999999">
      <c r="A1108" s="46"/>
      <c r="B1108" s="46"/>
      <c r="C1108" s="46"/>
      <c r="D1108" s="46"/>
      <c r="E1108" s="46"/>
      <c r="F1108" s="46"/>
      <c r="G1108" s="46"/>
      <c r="H1108" s="46"/>
      <c r="I1108" s="46"/>
      <c r="J1108" s="46"/>
      <c r="K1108" s="46"/>
      <c r="L1108" s="46"/>
      <c r="M1108" s="46"/>
      <c r="N1108" s="46"/>
      <c r="O1108" s="46"/>
      <c r="P1108" s="46"/>
      <c r="Q1108" s="46"/>
      <c r="R1108" s="46"/>
      <c r="S1108" s="46"/>
      <c r="T1108" s="46"/>
      <c r="U1108" s="46"/>
      <c r="V1108" s="46"/>
      <c r="W1108" s="46"/>
      <c r="X1108" s="46"/>
      <c r="Y1108" s="46"/>
      <c r="Z1108" s="46"/>
      <c r="AA1108" s="46"/>
      <c r="AB1108" s="46"/>
      <c r="AC1108" s="46"/>
      <c r="AD1108" s="46"/>
      <c r="AE1108" s="46"/>
      <c r="AF1108" s="46"/>
    </row>
    <row r="1109" spans="1:32" ht="10.199999999999999">
      <c r="A1109" s="46"/>
      <c r="B1109" s="46"/>
      <c r="C1109" s="46"/>
      <c r="D1109" s="46"/>
      <c r="E1109" s="46"/>
      <c r="F1109" s="46"/>
      <c r="G1109" s="46"/>
      <c r="H1109" s="46"/>
      <c r="I1109" s="46"/>
      <c r="J1109" s="46"/>
      <c r="K1109" s="46"/>
      <c r="L1109" s="46"/>
      <c r="M1109" s="46"/>
      <c r="N1109" s="46"/>
      <c r="O1109" s="46"/>
      <c r="P1109" s="46"/>
      <c r="Q1109" s="46"/>
      <c r="R1109" s="46"/>
      <c r="S1109" s="46"/>
      <c r="T1109" s="46"/>
      <c r="U1109" s="46"/>
      <c r="V1109" s="46"/>
      <c r="W1109" s="46"/>
      <c r="X1109" s="46"/>
      <c r="Y1109" s="46"/>
      <c r="Z1109" s="46"/>
      <c r="AA1109" s="46"/>
      <c r="AB1109" s="46"/>
      <c r="AC1109" s="46"/>
      <c r="AD1109" s="46"/>
      <c r="AE1109" s="46"/>
      <c r="AF1109" s="46"/>
    </row>
    <row r="1110" spans="1:32" ht="10.199999999999999">
      <c r="A1110" s="46"/>
      <c r="B1110" s="46"/>
      <c r="C1110" s="46"/>
      <c r="D1110" s="46"/>
      <c r="E1110" s="46"/>
      <c r="F1110" s="46"/>
      <c r="G1110" s="46"/>
      <c r="H1110" s="46"/>
      <c r="I1110" s="46"/>
      <c r="J1110" s="46"/>
      <c r="K1110" s="46"/>
      <c r="L1110" s="46"/>
      <c r="M1110" s="46"/>
      <c r="N1110" s="46"/>
      <c r="O1110" s="46"/>
      <c r="P1110" s="46"/>
      <c r="Q1110" s="46"/>
      <c r="R1110" s="46"/>
      <c r="S1110" s="46"/>
      <c r="T1110" s="46"/>
      <c r="U1110" s="46"/>
      <c r="V1110" s="46"/>
      <c r="W1110" s="46"/>
      <c r="X1110" s="46"/>
      <c r="Y1110" s="46"/>
      <c r="Z1110" s="46"/>
      <c r="AA1110" s="46"/>
      <c r="AB1110" s="46"/>
      <c r="AC1110" s="46"/>
      <c r="AD1110" s="46"/>
      <c r="AE1110" s="46"/>
      <c r="AF1110" s="46"/>
    </row>
    <row r="1111" spans="1:32" ht="10.199999999999999">
      <c r="A1111" s="46"/>
      <c r="B1111" s="46"/>
      <c r="C1111" s="46"/>
      <c r="D1111" s="46"/>
      <c r="E1111" s="46"/>
      <c r="F1111" s="46"/>
      <c r="G1111" s="46"/>
      <c r="H1111" s="46"/>
      <c r="I1111" s="46"/>
      <c r="J1111" s="46"/>
      <c r="K1111" s="46"/>
      <c r="L1111" s="46"/>
      <c r="M1111" s="46"/>
      <c r="N1111" s="46"/>
      <c r="O1111" s="46"/>
      <c r="P1111" s="46"/>
      <c r="Q1111" s="46"/>
      <c r="R1111" s="46"/>
      <c r="S1111" s="46"/>
      <c r="T1111" s="46"/>
      <c r="U1111" s="46"/>
      <c r="V1111" s="46"/>
      <c r="W1111" s="46"/>
      <c r="X1111" s="46"/>
      <c r="Y1111" s="46"/>
      <c r="Z1111" s="46"/>
      <c r="AA1111" s="46"/>
      <c r="AB1111" s="46"/>
      <c r="AC1111" s="46"/>
      <c r="AD1111" s="46"/>
      <c r="AE1111" s="46"/>
      <c r="AF1111" s="46"/>
    </row>
    <row r="1112" spans="1:32" ht="10.199999999999999">
      <c r="A1112" s="46"/>
      <c r="B1112" s="46"/>
      <c r="C1112" s="46"/>
      <c r="D1112" s="46"/>
      <c r="E1112" s="46"/>
      <c r="F1112" s="46"/>
      <c r="G1112" s="46"/>
      <c r="H1112" s="46"/>
      <c r="I1112" s="46"/>
      <c r="J1112" s="46"/>
      <c r="K1112" s="46"/>
      <c r="L1112" s="46"/>
      <c r="M1112" s="46"/>
      <c r="N1112" s="46"/>
      <c r="O1112" s="46"/>
      <c r="P1112" s="46"/>
      <c r="Q1112" s="46"/>
      <c r="R1112" s="46"/>
      <c r="S1112" s="46"/>
      <c r="T1112" s="46"/>
      <c r="U1112" s="46"/>
      <c r="V1112" s="46"/>
      <c r="W1112" s="46"/>
      <c r="X1112" s="46"/>
      <c r="Y1112" s="46"/>
      <c r="Z1112" s="46"/>
      <c r="AA1112" s="46"/>
      <c r="AB1112" s="46"/>
      <c r="AC1112" s="46"/>
      <c r="AD1112" s="46"/>
      <c r="AE1112" s="46"/>
      <c r="AF1112" s="46"/>
    </row>
    <row r="1113" spans="1:32" ht="10.199999999999999">
      <c r="A1113" s="46"/>
      <c r="B1113" s="46"/>
      <c r="C1113" s="46"/>
      <c r="D1113" s="46"/>
      <c r="E1113" s="46"/>
      <c r="F1113" s="46"/>
      <c r="G1113" s="46"/>
      <c r="H1113" s="46"/>
      <c r="I1113" s="46"/>
      <c r="J1113" s="46"/>
      <c r="K1113" s="46"/>
      <c r="L1113" s="46"/>
      <c r="M1113" s="46"/>
      <c r="N1113" s="46"/>
      <c r="O1113" s="46"/>
      <c r="P1113" s="46"/>
      <c r="Q1113" s="46"/>
      <c r="R1113" s="46"/>
      <c r="S1113" s="46"/>
      <c r="T1113" s="46"/>
      <c r="U1113" s="46"/>
      <c r="V1113" s="46"/>
      <c r="W1113" s="46"/>
      <c r="X1113" s="46"/>
      <c r="Y1113" s="46"/>
      <c r="Z1113" s="46"/>
      <c r="AA1113" s="46"/>
      <c r="AB1113" s="46"/>
      <c r="AC1113" s="46"/>
      <c r="AD1113" s="46"/>
      <c r="AE1113" s="46"/>
      <c r="AF1113" s="46"/>
    </row>
    <row r="1114" spans="1:32" ht="10.199999999999999">
      <c r="A1114" s="46"/>
      <c r="B1114" s="46"/>
      <c r="C1114" s="46"/>
      <c r="D1114" s="46"/>
      <c r="E1114" s="46"/>
      <c r="F1114" s="46"/>
      <c r="G1114" s="46"/>
      <c r="H1114" s="46"/>
      <c r="I1114" s="46"/>
      <c r="J1114" s="46"/>
      <c r="K1114" s="46"/>
      <c r="L1114" s="46"/>
      <c r="M1114" s="46"/>
      <c r="N1114" s="46"/>
      <c r="O1114" s="46"/>
      <c r="P1114" s="46"/>
      <c r="Q1114" s="46"/>
      <c r="R1114" s="46"/>
      <c r="S1114" s="46"/>
      <c r="T1114" s="46"/>
      <c r="U1114" s="46"/>
      <c r="V1114" s="46"/>
      <c r="W1114" s="46"/>
      <c r="X1114" s="46"/>
      <c r="Y1114" s="46"/>
      <c r="Z1114" s="46"/>
      <c r="AA1114" s="46"/>
      <c r="AB1114" s="46"/>
      <c r="AC1114" s="46"/>
      <c r="AD1114" s="46"/>
      <c r="AE1114" s="46"/>
      <c r="AF1114" s="46"/>
    </row>
    <row r="1115" spans="1:32" ht="10.199999999999999">
      <c r="A1115" s="46"/>
      <c r="B1115" s="46"/>
      <c r="C1115" s="46"/>
      <c r="D1115" s="46"/>
      <c r="E1115" s="46"/>
      <c r="F1115" s="46"/>
      <c r="G1115" s="46"/>
      <c r="H1115" s="46"/>
      <c r="I1115" s="46"/>
      <c r="J1115" s="46"/>
      <c r="K1115" s="46"/>
      <c r="L1115" s="46"/>
      <c r="M1115" s="46"/>
      <c r="N1115" s="46"/>
      <c r="O1115" s="46"/>
      <c r="P1115" s="46"/>
      <c r="Q1115" s="46"/>
      <c r="R1115" s="46"/>
      <c r="S1115" s="46"/>
      <c r="T1115" s="46"/>
      <c r="U1115" s="46"/>
      <c r="V1115" s="46"/>
      <c r="W1115" s="46"/>
      <c r="X1115" s="46"/>
      <c r="Y1115" s="46"/>
      <c r="Z1115" s="46"/>
      <c r="AA1115" s="46"/>
      <c r="AB1115" s="46"/>
      <c r="AC1115" s="46"/>
      <c r="AD1115" s="46"/>
      <c r="AE1115" s="46"/>
      <c r="AF1115" s="46"/>
    </row>
    <row r="1116" spans="1:32" ht="10.199999999999999">
      <c r="A1116" s="46"/>
      <c r="B1116" s="46"/>
      <c r="C1116" s="46"/>
      <c r="D1116" s="46"/>
      <c r="E1116" s="46"/>
      <c r="F1116" s="46"/>
      <c r="G1116" s="46"/>
      <c r="H1116" s="46"/>
      <c r="I1116" s="46"/>
      <c r="J1116" s="46"/>
      <c r="K1116" s="46"/>
      <c r="L1116" s="46"/>
      <c r="M1116" s="46"/>
      <c r="N1116" s="46"/>
      <c r="O1116" s="46"/>
      <c r="P1116" s="46"/>
      <c r="Q1116" s="46"/>
      <c r="R1116" s="46"/>
      <c r="S1116" s="46"/>
      <c r="T1116" s="46"/>
      <c r="U1116" s="46"/>
      <c r="V1116" s="46"/>
      <c r="W1116" s="46"/>
      <c r="X1116" s="46"/>
      <c r="Y1116" s="46"/>
      <c r="Z1116" s="46"/>
      <c r="AA1116" s="46"/>
      <c r="AB1116" s="46"/>
      <c r="AC1116" s="46"/>
      <c r="AD1116" s="46"/>
      <c r="AE1116" s="46"/>
      <c r="AF1116" s="46"/>
    </row>
    <row r="1117" spans="1:32" ht="10.199999999999999">
      <c r="A1117" s="46"/>
      <c r="B1117" s="46"/>
      <c r="C1117" s="46"/>
      <c r="D1117" s="46"/>
      <c r="E1117" s="46"/>
      <c r="F1117" s="46"/>
      <c r="G1117" s="46"/>
      <c r="H1117" s="46"/>
      <c r="I1117" s="46"/>
      <c r="J1117" s="46"/>
      <c r="K1117" s="46"/>
      <c r="L1117" s="46"/>
      <c r="M1117" s="46"/>
      <c r="N1117" s="46"/>
      <c r="O1117" s="46"/>
      <c r="P1117" s="46"/>
      <c r="Q1117" s="46"/>
      <c r="R1117" s="46"/>
      <c r="S1117" s="46"/>
      <c r="T1117" s="46"/>
      <c r="U1117" s="46"/>
      <c r="V1117" s="46"/>
      <c r="W1117" s="46"/>
      <c r="X1117" s="46"/>
      <c r="Y1117" s="46"/>
      <c r="Z1117" s="46"/>
      <c r="AA1117" s="46"/>
      <c r="AB1117" s="46"/>
      <c r="AC1117" s="46"/>
      <c r="AD1117" s="46"/>
      <c r="AE1117" s="46"/>
      <c r="AF1117" s="46"/>
    </row>
    <row r="1118" spans="1:32" ht="10.199999999999999">
      <c r="A1118" s="46"/>
      <c r="B1118" s="46"/>
      <c r="C1118" s="46"/>
      <c r="D1118" s="46"/>
      <c r="E1118" s="46"/>
      <c r="F1118" s="46"/>
      <c r="G1118" s="46"/>
      <c r="H1118" s="46"/>
      <c r="I1118" s="46"/>
      <c r="J1118" s="46"/>
      <c r="K1118" s="46"/>
      <c r="L1118" s="46"/>
      <c r="M1118" s="46"/>
      <c r="N1118" s="46"/>
      <c r="O1118" s="46"/>
      <c r="P1118" s="46"/>
      <c r="Q1118" s="46"/>
      <c r="R1118" s="46"/>
      <c r="S1118" s="46"/>
      <c r="T1118" s="46"/>
      <c r="U1118" s="46"/>
      <c r="V1118" s="46"/>
      <c r="W1118" s="46"/>
      <c r="X1118" s="46"/>
      <c r="Y1118" s="46"/>
      <c r="Z1118" s="46"/>
      <c r="AA1118" s="46"/>
      <c r="AB1118" s="46"/>
      <c r="AC1118" s="46"/>
      <c r="AD1118" s="46"/>
      <c r="AE1118" s="46"/>
      <c r="AF1118" s="46"/>
    </row>
    <row r="1119" spans="1:32" ht="10.199999999999999">
      <c r="A1119" s="46"/>
      <c r="B1119" s="46"/>
      <c r="C1119" s="46"/>
      <c r="D1119" s="46"/>
      <c r="E1119" s="46"/>
      <c r="F1119" s="46"/>
      <c r="G1119" s="46"/>
      <c r="H1119" s="46"/>
      <c r="I1119" s="46"/>
      <c r="J1119" s="46"/>
      <c r="K1119" s="46"/>
      <c r="L1119" s="46"/>
      <c r="M1119" s="46"/>
      <c r="N1119" s="46"/>
      <c r="O1119" s="46"/>
      <c r="P1119" s="46"/>
      <c r="Q1119" s="46"/>
      <c r="R1119" s="46"/>
      <c r="S1119" s="46"/>
      <c r="T1119" s="46"/>
      <c r="U1119" s="46"/>
      <c r="V1119" s="46"/>
      <c r="W1119" s="46"/>
      <c r="X1119" s="46"/>
      <c r="Y1119" s="46"/>
      <c r="Z1119" s="46"/>
      <c r="AA1119" s="46"/>
      <c r="AB1119" s="46"/>
      <c r="AC1119" s="46"/>
      <c r="AD1119" s="46"/>
      <c r="AE1119" s="46"/>
      <c r="AF1119" s="46"/>
    </row>
    <row r="1120" spans="1:32" ht="10.199999999999999">
      <c r="A1120" s="46"/>
      <c r="B1120" s="46"/>
      <c r="C1120" s="46"/>
      <c r="D1120" s="46"/>
      <c r="E1120" s="46"/>
      <c r="F1120" s="46"/>
      <c r="G1120" s="46"/>
      <c r="H1120" s="46"/>
      <c r="I1120" s="46"/>
      <c r="J1120" s="46"/>
      <c r="K1120" s="46"/>
      <c r="L1120" s="46"/>
      <c r="M1120" s="46"/>
      <c r="N1120" s="46"/>
      <c r="O1120" s="46"/>
      <c r="P1120" s="46"/>
      <c r="Q1120" s="46"/>
      <c r="R1120" s="46"/>
      <c r="S1120" s="46"/>
      <c r="T1120" s="46"/>
      <c r="U1120" s="46"/>
      <c r="V1120" s="46"/>
      <c r="W1120" s="46"/>
      <c r="X1120" s="46"/>
      <c r="Y1120" s="46"/>
      <c r="Z1120" s="46"/>
      <c r="AA1120" s="46"/>
      <c r="AB1120" s="46"/>
      <c r="AC1120" s="46"/>
      <c r="AD1120" s="46"/>
      <c r="AE1120" s="46"/>
      <c r="AF1120" s="46"/>
    </row>
    <row r="1121" spans="1:32" ht="10.199999999999999">
      <c r="A1121" s="46"/>
      <c r="B1121" s="46"/>
      <c r="C1121" s="46"/>
      <c r="D1121" s="46"/>
      <c r="E1121" s="46"/>
      <c r="F1121" s="46"/>
      <c r="G1121" s="46"/>
      <c r="H1121" s="46"/>
      <c r="I1121" s="46"/>
      <c r="J1121" s="46"/>
      <c r="K1121" s="46"/>
      <c r="L1121" s="46"/>
      <c r="M1121" s="46"/>
      <c r="N1121" s="46"/>
      <c r="O1121" s="46"/>
      <c r="P1121" s="46"/>
      <c r="Q1121" s="46"/>
      <c r="R1121" s="46"/>
      <c r="S1121" s="46"/>
      <c r="T1121" s="46"/>
      <c r="U1121" s="46"/>
      <c r="V1121" s="46"/>
      <c r="W1121" s="46"/>
      <c r="X1121" s="46"/>
      <c r="Y1121" s="46"/>
      <c r="Z1121" s="46"/>
      <c r="AA1121" s="46"/>
      <c r="AB1121" s="46"/>
      <c r="AC1121" s="46"/>
      <c r="AD1121" s="46"/>
      <c r="AE1121" s="46"/>
      <c r="AF1121" s="46"/>
    </row>
    <row r="1122" spans="1:32" ht="10.199999999999999">
      <c r="A1122" s="46"/>
      <c r="B1122" s="46"/>
      <c r="C1122" s="46"/>
      <c r="D1122" s="46"/>
      <c r="E1122" s="46"/>
      <c r="F1122" s="46"/>
      <c r="G1122" s="46"/>
      <c r="H1122" s="46"/>
      <c r="I1122" s="46"/>
      <c r="J1122" s="46"/>
      <c r="K1122" s="46"/>
      <c r="L1122" s="46"/>
      <c r="M1122" s="46"/>
      <c r="N1122" s="46"/>
      <c r="O1122" s="46"/>
      <c r="P1122" s="46"/>
      <c r="Q1122" s="46"/>
      <c r="R1122" s="46"/>
      <c r="S1122" s="46"/>
      <c r="T1122" s="46"/>
      <c r="U1122" s="46"/>
      <c r="V1122" s="46"/>
      <c r="W1122" s="46"/>
      <c r="X1122" s="46"/>
      <c r="Y1122" s="46"/>
      <c r="Z1122" s="46"/>
      <c r="AA1122" s="46"/>
      <c r="AB1122" s="46"/>
      <c r="AC1122" s="46"/>
      <c r="AD1122" s="46"/>
      <c r="AE1122" s="46"/>
      <c r="AF1122" s="46"/>
    </row>
    <row r="1123" spans="1:32" ht="10.199999999999999">
      <c r="A1123" s="46"/>
      <c r="B1123" s="46"/>
      <c r="C1123" s="46"/>
      <c r="D1123" s="46"/>
      <c r="E1123" s="46"/>
      <c r="F1123" s="46"/>
      <c r="G1123" s="46"/>
      <c r="H1123" s="46"/>
      <c r="I1123" s="46"/>
      <c r="J1123" s="46"/>
      <c r="K1123" s="46"/>
      <c r="L1123" s="46"/>
      <c r="M1123" s="46"/>
      <c r="N1123" s="46"/>
      <c r="O1123" s="46"/>
      <c r="P1123" s="46"/>
      <c r="Q1123" s="46"/>
      <c r="R1123" s="46"/>
      <c r="S1123" s="46"/>
      <c r="T1123" s="46"/>
      <c r="U1123" s="46"/>
      <c r="V1123" s="46"/>
      <c r="W1123" s="46"/>
      <c r="X1123" s="46"/>
      <c r="Y1123" s="46"/>
      <c r="Z1123" s="46"/>
      <c r="AA1123" s="46"/>
      <c r="AB1123" s="46"/>
      <c r="AC1123" s="46"/>
      <c r="AD1123" s="46"/>
      <c r="AE1123" s="46"/>
      <c r="AF1123" s="46"/>
    </row>
    <row r="1124" spans="1:32" ht="10.199999999999999">
      <c r="A1124" s="46"/>
      <c r="B1124" s="46"/>
      <c r="C1124" s="46"/>
      <c r="D1124" s="46"/>
      <c r="E1124" s="46"/>
      <c r="F1124" s="46"/>
      <c r="G1124" s="46"/>
      <c r="H1124" s="46"/>
      <c r="I1124" s="46"/>
      <c r="J1124" s="46"/>
      <c r="K1124" s="46"/>
      <c r="L1124" s="46"/>
      <c r="M1124" s="46"/>
      <c r="N1124" s="46"/>
      <c r="O1124" s="46"/>
      <c r="P1124" s="46"/>
      <c r="Q1124" s="46"/>
      <c r="R1124" s="46"/>
      <c r="S1124" s="46"/>
      <c r="T1124" s="46"/>
      <c r="U1124" s="46"/>
      <c r="V1124" s="46"/>
      <c r="W1124" s="46"/>
      <c r="X1124" s="46"/>
      <c r="Y1124" s="46"/>
      <c r="Z1124" s="46"/>
      <c r="AA1124" s="46"/>
      <c r="AB1124" s="46"/>
      <c r="AC1124" s="46"/>
      <c r="AD1124" s="46"/>
      <c r="AE1124" s="46"/>
      <c r="AF1124" s="46"/>
    </row>
    <row r="1125" spans="1:32" ht="10.199999999999999">
      <c r="A1125" s="46"/>
      <c r="B1125" s="46"/>
      <c r="C1125" s="46"/>
      <c r="D1125" s="46"/>
      <c r="E1125" s="46"/>
      <c r="F1125" s="46"/>
      <c r="G1125" s="46"/>
      <c r="H1125" s="46"/>
      <c r="I1125" s="46"/>
      <c r="J1125" s="46"/>
      <c r="K1125" s="46"/>
      <c r="L1125" s="46"/>
      <c r="M1125" s="46"/>
      <c r="N1125" s="46"/>
      <c r="O1125" s="46"/>
      <c r="P1125" s="46"/>
      <c r="Q1125" s="46"/>
      <c r="R1125" s="46"/>
      <c r="S1125" s="46"/>
      <c r="T1125" s="46"/>
      <c r="U1125" s="46"/>
      <c r="V1125" s="46"/>
      <c r="W1125" s="46"/>
      <c r="X1125" s="46"/>
      <c r="Y1125" s="46"/>
      <c r="Z1125" s="46"/>
      <c r="AA1125" s="46"/>
      <c r="AB1125" s="46"/>
      <c r="AC1125" s="46"/>
      <c r="AD1125" s="46"/>
      <c r="AE1125" s="46"/>
      <c r="AF1125" s="46"/>
    </row>
    <row r="1126" spans="1:32" ht="10.199999999999999">
      <c r="A1126" s="46"/>
      <c r="B1126" s="46"/>
      <c r="C1126" s="46"/>
      <c r="D1126" s="46"/>
      <c r="E1126" s="46"/>
      <c r="F1126" s="46"/>
      <c r="G1126" s="46"/>
      <c r="H1126" s="46"/>
      <c r="I1126" s="46"/>
      <c r="J1126" s="46"/>
      <c r="K1126" s="46"/>
      <c r="L1126" s="46"/>
      <c r="M1126" s="46"/>
      <c r="N1126" s="46"/>
      <c r="O1126" s="46"/>
      <c r="P1126" s="46"/>
      <c r="Q1126" s="46"/>
      <c r="R1126" s="46"/>
      <c r="S1126" s="46"/>
      <c r="T1126" s="46"/>
      <c r="U1126" s="46"/>
      <c r="V1126" s="46"/>
      <c r="W1126" s="46"/>
      <c r="X1126" s="46"/>
      <c r="Y1126" s="46"/>
      <c r="Z1126" s="46"/>
      <c r="AA1126" s="46"/>
      <c r="AB1126" s="46"/>
      <c r="AC1126" s="46"/>
      <c r="AD1126" s="46"/>
      <c r="AE1126" s="46"/>
      <c r="AF1126" s="46"/>
    </row>
    <row r="1127" spans="1:32" ht="10.199999999999999">
      <c r="A1127" s="46"/>
      <c r="B1127" s="46"/>
      <c r="C1127" s="46"/>
      <c r="D1127" s="46"/>
      <c r="E1127" s="46"/>
      <c r="F1127" s="46"/>
      <c r="G1127" s="46"/>
      <c r="H1127" s="46"/>
      <c r="I1127" s="46"/>
      <c r="J1127" s="46"/>
      <c r="K1127" s="46"/>
      <c r="L1127" s="46"/>
      <c r="M1127" s="46"/>
      <c r="N1127" s="46"/>
      <c r="O1127" s="46"/>
      <c r="P1127" s="46"/>
      <c r="Q1127" s="46"/>
      <c r="R1127" s="46"/>
      <c r="S1127" s="46"/>
      <c r="T1127" s="46"/>
      <c r="U1127" s="46"/>
      <c r="V1127" s="46"/>
      <c r="W1127" s="46"/>
      <c r="X1127" s="46"/>
      <c r="Y1127" s="46"/>
      <c r="Z1127" s="46"/>
      <c r="AA1127" s="46"/>
      <c r="AB1127" s="46"/>
      <c r="AC1127" s="46"/>
      <c r="AD1127" s="46"/>
      <c r="AE1127" s="46"/>
      <c r="AF1127" s="46"/>
    </row>
    <row r="1128" spans="1:32" ht="10.199999999999999">
      <c r="A1128" s="46"/>
      <c r="B1128" s="46"/>
      <c r="C1128" s="46"/>
      <c r="D1128" s="46"/>
      <c r="E1128" s="46"/>
      <c r="F1128" s="46"/>
      <c r="G1128" s="46"/>
      <c r="H1128" s="46"/>
      <c r="I1128" s="46"/>
      <c r="J1128" s="46"/>
      <c r="K1128" s="46"/>
      <c r="L1128" s="46"/>
      <c r="M1128" s="46"/>
      <c r="N1128" s="46"/>
      <c r="O1128" s="46"/>
      <c r="P1128" s="46"/>
      <c r="Q1128" s="46"/>
      <c r="R1128" s="46"/>
      <c r="S1128" s="46"/>
      <c r="T1128" s="46"/>
      <c r="U1128" s="46"/>
      <c r="V1128" s="46"/>
      <c r="W1128" s="46"/>
      <c r="X1128" s="46"/>
      <c r="Y1128" s="46"/>
      <c r="Z1128" s="46"/>
      <c r="AA1128" s="46"/>
      <c r="AB1128" s="46"/>
      <c r="AC1128" s="46"/>
      <c r="AD1128" s="46"/>
      <c r="AE1128" s="46"/>
      <c r="AF1128" s="46"/>
    </row>
    <row r="1129" spans="1:32" ht="10.199999999999999">
      <c r="A1129" s="46"/>
      <c r="B1129" s="46"/>
      <c r="C1129" s="46"/>
      <c r="D1129" s="46"/>
      <c r="E1129" s="46"/>
      <c r="F1129" s="46"/>
      <c r="G1129" s="46"/>
      <c r="H1129" s="46"/>
      <c r="I1129" s="46"/>
      <c r="J1129" s="46"/>
      <c r="K1129" s="46"/>
      <c r="L1129" s="46"/>
      <c r="M1129" s="46"/>
      <c r="N1129" s="46"/>
      <c r="O1129" s="46"/>
      <c r="P1129" s="46"/>
      <c r="Q1129" s="46"/>
      <c r="R1129" s="46"/>
      <c r="S1129" s="46"/>
      <c r="T1129" s="46"/>
      <c r="U1129" s="46"/>
      <c r="V1129" s="46"/>
      <c r="W1129" s="46"/>
      <c r="X1129" s="46"/>
      <c r="Y1129" s="46"/>
      <c r="Z1129" s="46"/>
      <c r="AA1129" s="46"/>
      <c r="AB1129" s="46"/>
      <c r="AC1129" s="46"/>
      <c r="AD1129" s="46"/>
      <c r="AE1129" s="46"/>
      <c r="AF1129" s="46"/>
    </row>
    <row r="1130" spans="1:32" ht="10.199999999999999">
      <c r="A1130" s="46"/>
      <c r="B1130" s="46"/>
      <c r="C1130" s="46"/>
      <c r="D1130" s="46"/>
      <c r="E1130" s="46"/>
      <c r="F1130" s="46"/>
      <c r="G1130" s="46"/>
      <c r="H1130" s="46"/>
      <c r="I1130" s="46"/>
      <c r="J1130" s="46"/>
      <c r="K1130" s="46"/>
      <c r="L1130" s="46"/>
      <c r="M1130" s="46"/>
      <c r="N1130" s="46"/>
      <c r="O1130" s="46"/>
      <c r="P1130" s="46"/>
      <c r="Q1130" s="46"/>
      <c r="R1130" s="46"/>
      <c r="S1130" s="46"/>
      <c r="T1130" s="46"/>
      <c r="U1130" s="46"/>
      <c r="V1130" s="46"/>
      <c r="W1130" s="46"/>
      <c r="X1130" s="46"/>
      <c r="Y1130" s="46"/>
      <c r="Z1130" s="46"/>
      <c r="AA1130" s="46"/>
      <c r="AB1130" s="46"/>
      <c r="AC1130" s="46"/>
      <c r="AD1130" s="46"/>
      <c r="AE1130" s="46"/>
      <c r="AF1130" s="46"/>
    </row>
    <row r="1131" spans="1:32" ht="10.199999999999999">
      <c r="A1131" s="46"/>
      <c r="B1131" s="46"/>
      <c r="C1131" s="46"/>
      <c r="D1131" s="46"/>
      <c r="E1131" s="46"/>
      <c r="F1131" s="46"/>
      <c r="G1131" s="46"/>
      <c r="H1131" s="46"/>
      <c r="I1131" s="46"/>
      <c r="J1131" s="46"/>
      <c r="K1131" s="46"/>
      <c r="L1131" s="46"/>
      <c r="M1131" s="46"/>
      <c r="N1131" s="46"/>
      <c r="O1131" s="46"/>
      <c r="P1131" s="46"/>
      <c r="Q1131" s="46"/>
      <c r="R1131" s="46"/>
      <c r="S1131" s="46"/>
      <c r="T1131" s="46"/>
      <c r="U1131" s="46"/>
      <c r="V1131" s="46"/>
      <c r="W1131" s="46"/>
      <c r="X1131" s="46"/>
      <c r="Y1131" s="46"/>
      <c r="Z1131" s="46"/>
      <c r="AA1131" s="46"/>
      <c r="AB1131" s="46"/>
      <c r="AC1131" s="46"/>
      <c r="AD1131" s="46"/>
      <c r="AE1131" s="46"/>
      <c r="AF1131" s="46"/>
    </row>
    <row r="1132" spans="1:32" ht="10.199999999999999">
      <c r="A1132" s="46"/>
      <c r="B1132" s="46"/>
      <c r="C1132" s="46"/>
      <c r="D1132" s="46"/>
      <c r="E1132" s="46"/>
      <c r="F1132" s="46"/>
      <c r="G1132" s="46"/>
      <c r="H1132" s="46"/>
      <c r="I1132" s="46"/>
      <c r="J1132" s="46"/>
      <c r="K1132" s="46"/>
      <c r="L1132" s="46"/>
      <c r="M1132" s="46"/>
      <c r="N1132" s="46"/>
      <c r="O1132" s="46"/>
      <c r="P1132" s="46"/>
      <c r="Q1132" s="46"/>
      <c r="R1132" s="46"/>
      <c r="S1132" s="46"/>
      <c r="T1132" s="46"/>
      <c r="U1132" s="46"/>
      <c r="V1132" s="46"/>
      <c r="W1132" s="46"/>
      <c r="X1132" s="46"/>
      <c r="Y1132" s="46"/>
      <c r="Z1132" s="46"/>
      <c r="AA1132" s="46"/>
      <c r="AB1132" s="46"/>
      <c r="AC1132" s="46"/>
      <c r="AD1132" s="46"/>
      <c r="AE1132" s="46"/>
      <c r="AF1132" s="46"/>
    </row>
    <row r="1133" spans="1:32" ht="10.199999999999999">
      <c r="A1133" s="46"/>
      <c r="B1133" s="46"/>
      <c r="C1133" s="46"/>
      <c r="D1133" s="46"/>
      <c r="E1133" s="46"/>
      <c r="F1133" s="46"/>
      <c r="G1133" s="46"/>
      <c r="H1133" s="46"/>
      <c r="I1133" s="46"/>
      <c r="J1133" s="46"/>
      <c r="K1133" s="46"/>
      <c r="L1133" s="46"/>
      <c r="M1133" s="46"/>
      <c r="N1133" s="46"/>
      <c r="O1133" s="46"/>
      <c r="P1133" s="46"/>
      <c r="Q1133" s="46"/>
      <c r="R1133" s="46"/>
      <c r="S1133" s="46"/>
      <c r="T1133" s="46"/>
      <c r="U1133" s="46"/>
      <c r="V1133" s="46"/>
      <c r="W1133" s="46"/>
      <c r="X1133" s="46"/>
      <c r="Y1133" s="46"/>
      <c r="Z1133" s="46"/>
      <c r="AA1133" s="46"/>
      <c r="AB1133" s="46"/>
      <c r="AC1133" s="46"/>
      <c r="AD1133" s="46"/>
      <c r="AE1133" s="46"/>
      <c r="AF1133" s="46"/>
    </row>
    <row r="1134" spans="1:32" ht="10.199999999999999">
      <c r="A1134" s="46"/>
      <c r="B1134" s="46"/>
      <c r="C1134" s="46"/>
      <c r="D1134" s="46"/>
      <c r="E1134" s="46"/>
      <c r="F1134" s="46"/>
      <c r="G1134" s="46"/>
      <c r="H1134" s="46"/>
      <c r="I1134" s="46"/>
      <c r="J1134" s="46"/>
      <c r="K1134" s="46"/>
      <c r="L1134" s="46"/>
      <c r="M1134" s="46"/>
      <c r="N1134" s="46"/>
      <c r="O1134" s="46"/>
      <c r="P1134" s="46"/>
      <c r="Q1134" s="46"/>
      <c r="R1134" s="46"/>
      <c r="S1134" s="46"/>
      <c r="T1134" s="46"/>
      <c r="U1134" s="46"/>
      <c r="V1134" s="46"/>
      <c r="W1134" s="46"/>
      <c r="X1134" s="46"/>
      <c r="Y1134" s="46"/>
      <c r="Z1134" s="46"/>
      <c r="AA1134" s="46"/>
      <c r="AB1134" s="46"/>
      <c r="AC1134" s="46"/>
      <c r="AD1134" s="46"/>
      <c r="AE1134" s="46"/>
      <c r="AF1134" s="46"/>
    </row>
    <row r="1135" spans="1:32" ht="10.199999999999999">
      <c r="A1135" s="46"/>
      <c r="B1135" s="46"/>
      <c r="C1135" s="46"/>
      <c r="D1135" s="46"/>
      <c r="E1135" s="46"/>
      <c r="F1135" s="46"/>
      <c r="G1135" s="46"/>
      <c r="H1135" s="46"/>
      <c r="I1135" s="46"/>
      <c r="J1135" s="46"/>
      <c r="K1135" s="46"/>
      <c r="L1135" s="46"/>
      <c r="M1135" s="46"/>
      <c r="N1135" s="46"/>
      <c r="O1135" s="46"/>
      <c r="P1135" s="46"/>
      <c r="Q1135" s="46"/>
      <c r="R1135" s="46"/>
      <c r="S1135" s="46"/>
      <c r="T1135" s="46"/>
      <c r="U1135" s="46"/>
      <c r="V1135" s="46"/>
      <c r="W1135" s="46"/>
      <c r="X1135" s="46"/>
      <c r="Y1135" s="46"/>
      <c r="Z1135" s="46"/>
      <c r="AA1135" s="46"/>
      <c r="AB1135" s="46"/>
      <c r="AC1135" s="46"/>
      <c r="AD1135" s="46"/>
      <c r="AE1135" s="46"/>
      <c r="AF1135" s="46"/>
    </row>
    <row r="1136" spans="1:32" ht="10.199999999999999">
      <c r="A1136" s="46"/>
      <c r="B1136" s="46"/>
      <c r="C1136" s="46"/>
      <c r="D1136" s="46"/>
      <c r="E1136" s="46"/>
      <c r="F1136" s="46"/>
      <c r="G1136" s="46"/>
      <c r="H1136" s="46"/>
      <c r="I1136" s="46"/>
      <c r="J1136" s="46"/>
      <c r="K1136" s="46"/>
      <c r="L1136" s="46"/>
      <c r="M1136" s="46"/>
      <c r="N1136" s="46"/>
      <c r="O1136" s="46"/>
      <c r="P1136" s="46"/>
      <c r="Q1136" s="46"/>
      <c r="R1136" s="46"/>
      <c r="S1136" s="46"/>
      <c r="T1136" s="46"/>
      <c r="U1136" s="46"/>
      <c r="V1136" s="46"/>
      <c r="W1136" s="46"/>
      <c r="X1136" s="46"/>
      <c r="Y1136" s="46"/>
      <c r="Z1136" s="46"/>
      <c r="AA1136" s="46"/>
      <c r="AB1136" s="46"/>
      <c r="AC1136" s="46"/>
      <c r="AD1136" s="46"/>
      <c r="AE1136" s="46"/>
      <c r="AF1136" s="46"/>
    </row>
    <row r="1137" spans="1:32" ht="10.199999999999999">
      <c r="A1137" s="46"/>
      <c r="B1137" s="46"/>
      <c r="C1137" s="46"/>
      <c r="D1137" s="46"/>
      <c r="E1137" s="46"/>
      <c r="F1137" s="46"/>
      <c r="G1137" s="46"/>
      <c r="H1137" s="46"/>
      <c r="I1137" s="46"/>
      <c r="J1137" s="46"/>
      <c r="K1137" s="46"/>
      <c r="L1137" s="46"/>
      <c r="M1137" s="46"/>
      <c r="N1137" s="46"/>
      <c r="O1137" s="46"/>
      <c r="P1137" s="46"/>
      <c r="Q1137" s="46"/>
      <c r="R1137" s="46"/>
      <c r="S1137" s="46"/>
      <c r="T1137" s="46"/>
      <c r="U1137" s="46"/>
      <c r="V1137" s="46"/>
      <c r="W1137" s="46"/>
      <c r="X1137" s="46"/>
      <c r="Y1137" s="46"/>
      <c r="Z1137" s="46"/>
      <c r="AA1137" s="46"/>
      <c r="AB1137" s="46"/>
      <c r="AC1137" s="46"/>
      <c r="AD1137" s="46"/>
      <c r="AE1137" s="46"/>
      <c r="AF1137" s="46"/>
    </row>
    <row r="1138" spans="1:32" ht="10.199999999999999">
      <c r="A1138" s="46"/>
      <c r="B1138" s="46"/>
      <c r="C1138" s="46"/>
      <c r="D1138" s="46"/>
      <c r="E1138" s="46"/>
      <c r="F1138" s="46"/>
      <c r="G1138" s="46"/>
      <c r="H1138" s="46"/>
      <c r="I1138" s="46"/>
      <c r="J1138" s="46"/>
      <c r="K1138" s="46"/>
      <c r="L1138" s="46"/>
      <c r="M1138" s="46"/>
      <c r="N1138" s="46"/>
      <c r="O1138" s="46"/>
      <c r="P1138" s="46"/>
      <c r="Q1138" s="46"/>
      <c r="R1138" s="46"/>
      <c r="S1138" s="46"/>
      <c r="T1138" s="46"/>
      <c r="U1138" s="46"/>
      <c r="V1138" s="46"/>
      <c r="W1138" s="46"/>
      <c r="X1138" s="46"/>
      <c r="Y1138" s="46"/>
      <c r="Z1138" s="46"/>
      <c r="AA1138" s="46"/>
      <c r="AB1138" s="46"/>
      <c r="AC1138" s="46"/>
      <c r="AD1138" s="46"/>
      <c r="AE1138" s="46"/>
      <c r="AF1138" s="46"/>
    </row>
    <row r="1139" spans="1:32" ht="10.199999999999999">
      <c r="A1139" s="46"/>
      <c r="B1139" s="46"/>
      <c r="C1139" s="46"/>
      <c r="D1139" s="46"/>
      <c r="E1139" s="46"/>
      <c r="F1139" s="46"/>
      <c r="G1139" s="46"/>
      <c r="H1139" s="46"/>
      <c r="I1139" s="46"/>
      <c r="J1139" s="46"/>
      <c r="K1139" s="46"/>
      <c r="L1139" s="46"/>
      <c r="M1139" s="46"/>
      <c r="N1139" s="46"/>
      <c r="O1139" s="46"/>
      <c r="P1139" s="46"/>
      <c r="Q1139" s="46"/>
      <c r="R1139" s="46"/>
      <c r="S1139" s="46"/>
      <c r="T1139" s="46"/>
      <c r="U1139" s="46"/>
      <c r="V1139" s="46"/>
      <c r="W1139" s="46"/>
      <c r="X1139" s="46"/>
      <c r="Y1139" s="46"/>
      <c r="Z1139" s="46"/>
      <c r="AA1139" s="46"/>
      <c r="AB1139" s="46"/>
      <c r="AC1139" s="46"/>
      <c r="AD1139" s="46"/>
      <c r="AE1139" s="46"/>
      <c r="AF1139" s="46"/>
    </row>
    <row r="1140" spans="1:32" ht="10.199999999999999">
      <c r="A1140" s="46"/>
      <c r="B1140" s="46"/>
      <c r="C1140" s="46"/>
      <c r="D1140" s="46"/>
      <c r="E1140" s="46"/>
      <c r="F1140" s="46"/>
      <c r="G1140" s="46"/>
      <c r="H1140" s="46"/>
      <c r="I1140" s="46"/>
      <c r="J1140" s="46"/>
      <c r="K1140" s="46"/>
      <c r="L1140" s="46"/>
      <c r="M1140" s="46"/>
      <c r="N1140" s="46"/>
      <c r="O1140" s="46"/>
      <c r="P1140" s="46"/>
      <c r="Q1140" s="46"/>
      <c r="R1140" s="46"/>
      <c r="S1140" s="46"/>
      <c r="T1140" s="46"/>
      <c r="U1140" s="46"/>
      <c r="V1140" s="46"/>
      <c r="W1140" s="46"/>
      <c r="X1140" s="46"/>
      <c r="Y1140" s="46"/>
      <c r="Z1140" s="46"/>
      <c r="AA1140" s="46"/>
      <c r="AB1140" s="46"/>
      <c r="AC1140" s="46"/>
      <c r="AD1140" s="46"/>
      <c r="AE1140" s="46"/>
      <c r="AF1140" s="46"/>
    </row>
    <row r="1141" spans="1:32" ht="10.199999999999999">
      <c r="A1141" s="46"/>
      <c r="B1141" s="46"/>
      <c r="C1141" s="46"/>
      <c r="D1141" s="46"/>
      <c r="E1141" s="46"/>
      <c r="F1141" s="46"/>
      <c r="G1141" s="46"/>
      <c r="H1141" s="46"/>
      <c r="I1141" s="46"/>
      <c r="J1141" s="46"/>
      <c r="K1141" s="46"/>
      <c r="L1141" s="46"/>
      <c r="M1141" s="46"/>
      <c r="N1141" s="46"/>
      <c r="O1141" s="46"/>
      <c r="P1141" s="46"/>
      <c r="Q1141" s="46"/>
      <c r="R1141" s="46"/>
      <c r="S1141" s="46"/>
      <c r="T1141" s="46"/>
      <c r="U1141" s="46"/>
      <c r="V1141" s="46"/>
      <c r="W1141" s="46"/>
      <c r="X1141" s="46"/>
      <c r="Y1141" s="46"/>
      <c r="Z1141" s="46"/>
      <c r="AA1141" s="46"/>
      <c r="AB1141" s="46"/>
      <c r="AC1141" s="46"/>
      <c r="AD1141" s="46"/>
      <c r="AE1141" s="46"/>
      <c r="AF1141" s="46"/>
    </row>
    <row r="1142" spans="1:32" ht="10.199999999999999">
      <c r="A1142" s="46"/>
      <c r="B1142" s="46"/>
      <c r="C1142" s="46"/>
      <c r="D1142" s="46"/>
      <c r="E1142" s="46"/>
      <c r="F1142" s="46"/>
      <c r="G1142" s="46"/>
      <c r="H1142" s="46"/>
      <c r="I1142" s="46"/>
      <c r="J1142" s="46"/>
      <c r="K1142" s="46"/>
      <c r="L1142" s="46"/>
      <c r="M1142" s="46"/>
      <c r="N1142" s="46"/>
      <c r="O1142" s="46"/>
      <c r="P1142" s="46"/>
      <c r="Q1142" s="46"/>
      <c r="R1142" s="46"/>
      <c r="S1142" s="46"/>
      <c r="T1142" s="46"/>
      <c r="U1142" s="46"/>
      <c r="V1142" s="46"/>
      <c r="W1142" s="46"/>
      <c r="X1142" s="46"/>
      <c r="Y1142" s="46"/>
      <c r="Z1142" s="46"/>
      <c r="AA1142" s="46"/>
      <c r="AB1142" s="46"/>
      <c r="AC1142" s="46"/>
      <c r="AD1142" s="46"/>
      <c r="AE1142" s="46"/>
      <c r="AF1142" s="46"/>
    </row>
    <row r="1143" spans="1:32" ht="10.199999999999999">
      <c r="A1143" s="46"/>
      <c r="B1143" s="46"/>
      <c r="C1143" s="46"/>
      <c r="D1143" s="46"/>
      <c r="E1143" s="46"/>
      <c r="F1143" s="46"/>
      <c r="G1143" s="46"/>
      <c r="H1143" s="46"/>
      <c r="I1143" s="46"/>
      <c r="J1143" s="46"/>
      <c r="K1143" s="46"/>
      <c r="L1143" s="46"/>
      <c r="M1143" s="46"/>
      <c r="N1143" s="46"/>
      <c r="O1143" s="46"/>
      <c r="P1143" s="46"/>
      <c r="Q1143" s="46"/>
      <c r="R1143" s="46"/>
      <c r="S1143" s="46"/>
      <c r="T1143" s="46"/>
      <c r="U1143" s="46"/>
      <c r="V1143" s="46"/>
      <c r="W1143" s="46"/>
      <c r="X1143" s="46"/>
      <c r="Y1143" s="46"/>
      <c r="Z1143" s="46"/>
      <c r="AA1143" s="46"/>
      <c r="AB1143" s="46"/>
      <c r="AC1143" s="46"/>
      <c r="AD1143" s="46"/>
      <c r="AE1143" s="46"/>
      <c r="AF1143" s="46"/>
    </row>
    <row r="1144" spans="1:32" ht="10.199999999999999">
      <c r="A1144" s="46"/>
      <c r="B1144" s="46"/>
      <c r="C1144" s="46"/>
      <c r="D1144" s="46"/>
      <c r="E1144" s="46"/>
      <c r="F1144" s="46"/>
      <c r="G1144" s="46"/>
      <c r="H1144" s="46"/>
      <c r="I1144" s="46"/>
      <c r="J1144" s="46"/>
      <c r="K1144" s="46"/>
      <c r="L1144" s="46"/>
      <c r="M1144" s="46"/>
      <c r="N1144" s="46"/>
      <c r="O1144" s="46"/>
      <c r="P1144" s="46"/>
      <c r="Q1144" s="46"/>
      <c r="R1144" s="46"/>
      <c r="S1144" s="46"/>
      <c r="T1144" s="46"/>
      <c r="U1144" s="46"/>
      <c r="V1144" s="46"/>
      <c r="W1144" s="46"/>
      <c r="X1144" s="46"/>
      <c r="Y1144" s="46"/>
      <c r="Z1144" s="46"/>
      <c r="AA1144" s="46"/>
      <c r="AB1144" s="46"/>
      <c r="AC1144" s="46"/>
      <c r="AD1144" s="46"/>
      <c r="AE1144" s="46"/>
      <c r="AF1144" s="46"/>
    </row>
    <row r="1145" spans="1:32" ht="10.199999999999999">
      <c r="A1145" s="46"/>
      <c r="B1145" s="46"/>
      <c r="C1145" s="46"/>
      <c r="D1145" s="46"/>
      <c r="E1145" s="46"/>
      <c r="F1145" s="46"/>
      <c r="G1145" s="46"/>
      <c r="H1145" s="46"/>
      <c r="I1145" s="46"/>
      <c r="J1145" s="46"/>
      <c r="K1145" s="46"/>
      <c r="L1145" s="46"/>
      <c r="M1145" s="46"/>
      <c r="N1145" s="46"/>
      <c r="O1145" s="46"/>
      <c r="P1145" s="46"/>
      <c r="Q1145" s="46"/>
      <c r="R1145" s="46"/>
      <c r="S1145" s="46"/>
      <c r="T1145" s="46"/>
      <c r="U1145" s="46"/>
      <c r="V1145" s="46"/>
      <c r="W1145" s="46"/>
      <c r="X1145" s="46"/>
      <c r="Y1145" s="46"/>
      <c r="Z1145" s="46"/>
      <c r="AA1145" s="46"/>
      <c r="AB1145" s="46"/>
      <c r="AC1145" s="46"/>
      <c r="AD1145" s="46"/>
      <c r="AE1145" s="46"/>
      <c r="AF1145" s="46"/>
    </row>
    <row r="1146" spans="1:32" ht="10.199999999999999">
      <c r="A1146" s="46"/>
      <c r="B1146" s="46"/>
      <c r="C1146" s="46"/>
      <c r="D1146" s="46"/>
      <c r="E1146" s="46"/>
      <c r="F1146" s="46"/>
      <c r="G1146" s="46"/>
      <c r="H1146" s="46"/>
      <c r="I1146" s="46"/>
      <c r="J1146" s="46"/>
      <c r="K1146" s="46"/>
      <c r="L1146" s="46"/>
      <c r="M1146" s="46"/>
      <c r="N1146" s="46"/>
      <c r="O1146" s="46"/>
      <c r="P1146" s="46"/>
      <c r="Q1146" s="46"/>
      <c r="R1146" s="46"/>
      <c r="S1146" s="46"/>
      <c r="T1146" s="46"/>
      <c r="U1146" s="46"/>
      <c r="V1146" s="46"/>
      <c r="W1146" s="46"/>
      <c r="X1146" s="46"/>
      <c r="Y1146" s="46"/>
      <c r="Z1146" s="46"/>
      <c r="AA1146" s="46"/>
      <c r="AB1146" s="46"/>
      <c r="AC1146" s="46"/>
      <c r="AD1146" s="46"/>
      <c r="AE1146" s="46"/>
      <c r="AF1146" s="46"/>
    </row>
    <row r="1147" spans="1:32" ht="10.199999999999999">
      <c r="A1147" s="46"/>
      <c r="B1147" s="46"/>
      <c r="C1147" s="46"/>
      <c r="D1147" s="46"/>
      <c r="E1147" s="46"/>
      <c r="F1147" s="46"/>
      <c r="G1147" s="46"/>
      <c r="H1147" s="46"/>
      <c r="I1147" s="46"/>
      <c r="J1147" s="46"/>
      <c r="K1147" s="46"/>
      <c r="L1147" s="46"/>
      <c r="M1147" s="46"/>
      <c r="N1147" s="46"/>
      <c r="O1147" s="46"/>
      <c r="P1147" s="46"/>
      <c r="Q1147" s="46"/>
      <c r="R1147" s="46"/>
      <c r="S1147" s="46"/>
      <c r="T1147" s="46"/>
      <c r="U1147" s="46"/>
      <c r="V1147" s="46"/>
      <c r="W1147" s="46"/>
      <c r="X1147" s="46"/>
      <c r="Y1147" s="46"/>
      <c r="Z1147" s="46"/>
      <c r="AA1147" s="46"/>
      <c r="AB1147" s="46"/>
      <c r="AC1147" s="46"/>
      <c r="AD1147" s="46"/>
      <c r="AE1147" s="46"/>
      <c r="AF1147" s="46"/>
    </row>
    <row r="1148" spans="1:32" ht="10.199999999999999">
      <c r="A1148" s="46"/>
      <c r="B1148" s="46"/>
      <c r="C1148" s="46"/>
      <c r="D1148" s="46"/>
      <c r="E1148" s="46"/>
      <c r="F1148" s="46"/>
      <c r="G1148" s="46"/>
      <c r="H1148" s="46"/>
      <c r="I1148" s="46"/>
      <c r="J1148" s="46"/>
      <c r="K1148" s="46"/>
      <c r="L1148" s="46"/>
      <c r="M1148" s="46"/>
      <c r="N1148" s="46"/>
      <c r="O1148" s="46"/>
      <c r="P1148" s="46"/>
      <c r="Q1148" s="46"/>
      <c r="R1148" s="46"/>
      <c r="S1148" s="46"/>
      <c r="T1148" s="46"/>
      <c r="U1148" s="46"/>
      <c r="V1148" s="46"/>
      <c r="W1148" s="46"/>
      <c r="X1148" s="46"/>
      <c r="Y1148" s="46"/>
      <c r="Z1148" s="46"/>
      <c r="AA1148" s="46"/>
      <c r="AB1148" s="46"/>
      <c r="AC1148" s="46"/>
      <c r="AD1148" s="46"/>
      <c r="AE1148" s="46"/>
      <c r="AF1148" s="46"/>
    </row>
    <row r="1149" spans="1:32" ht="10.199999999999999">
      <c r="A1149" s="46"/>
      <c r="B1149" s="46"/>
      <c r="C1149" s="46"/>
      <c r="D1149" s="46"/>
      <c r="E1149" s="46"/>
      <c r="F1149" s="46"/>
      <c r="G1149" s="46"/>
      <c r="H1149" s="46"/>
      <c r="I1149" s="46"/>
      <c r="J1149" s="46"/>
      <c r="K1149" s="46"/>
      <c r="L1149" s="46"/>
      <c r="M1149" s="46"/>
      <c r="N1149" s="46"/>
      <c r="O1149" s="46"/>
      <c r="P1149" s="46"/>
      <c r="Q1149" s="46"/>
      <c r="R1149" s="46"/>
      <c r="S1149" s="46"/>
      <c r="T1149" s="46"/>
      <c r="U1149" s="46"/>
      <c r="V1149" s="46"/>
      <c r="W1149" s="46"/>
      <c r="X1149" s="46"/>
      <c r="Y1149" s="46"/>
      <c r="Z1149" s="46"/>
      <c r="AA1149" s="46"/>
      <c r="AB1149" s="46"/>
      <c r="AC1149" s="46"/>
      <c r="AD1149" s="46"/>
      <c r="AE1149" s="46"/>
      <c r="AF1149" s="46"/>
    </row>
    <row r="1150" spans="1:32" ht="10.199999999999999">
      <c r="A1150" s="46"/>
      <c r="B1150" s="46"/>
      <c r="C1150" s="46"/>
      <c r="D1150" s="46"/>
      <c r="E1150" s="46"/>
      <c r="F1150" s="46"/>
      <c r="G1150" s="46"/>
      <c r="H1150" s="46"/>
      <c r="I1150" s="46"/>
      <c r="J1150" s="46"/>
      <c r="K1150" s="46"/>
      <c r="L1150" s="46"/>
      <c r="M1150" s="46"/>
      <c r="N1150" s="46"/>
      <c r="O1150" s="46"/>
      <c r="P1150" s="46"/>
      <c r="Q1150" s="46"/>
      <c r="R1150" s="46"/>
      <c r="S1150" s="46"/>
      <c r="T1150" s="46"/>
      <c r="U1150" s="46"/>
      <c r="V1150" s="46"/>
      <c r="W1150" s="46"/>
      <c r="X1150" s="46"/>
      <c r="Y1150" s="46"/>
      <c r="Z1150" s="46"/>
      <c r="AA1150" s="46"/>
      <c r="AB1150" s="46"/>
      <c r="AC1150" s="46"/>
      <c r="AD1150" s="46"/>
      <c r="AE1150" s="46"/>
      <c r="AF1150" s="46"/>
    </row>
    <row r="1151" spans="1:32" ht="10.199999999999999">
      <c r="A1151" s="46"/>
      <c r="B1151" s="46"/>
      <c r="C1151" s="46"/>
      <c r="D1151" s="46"/>
      <c r="E1151" s="46"/>
      <c r="F1151" s="46"/>
      <c r="G1151" s="46"/>
      <c r="H1151" s="46"/>
      <c r="I1151" s="46"/>
      <c r="J1151" s="46"/>
      <c r="K1151" s="46"/>
      <c r="L1151" s="46"/>
      <c r="M1151" s="46"/>
      <c r="N1151" s="46"/>
      <c r="O1151" s="46"/>
      <c r="P1151" s="46"/>
      <c r="Q1151" s="46"/>
      <c r="R1151" s="46"/>
      <c r="S1151" s="46"/>
      <c r="T1151" s="46"/>
      <c r="U1151" s="46"/>
      <c r="V1151" s="46"/>
      <c r="W1151" s="46"/>
      <c r="X1151" s="46"/>
      <c r="Y1151" s="46"/>
      <c r="Z1151" s="46"/>
      <c r="AA1151" s="46"/>
      <c r="AB1151" s="46"/>
      <c r="AC1151" s="46"/>
      <c r="AD1151" s="46"/>
      <c r="AE1151" s="46"/>
      <c r="AF1151" s="46"/>
    </row>
    <row r="1152" spans="1:32" ht="10.199999999999999">
      <c r="A1152" s="46"/>
      <c r="B1152" s="46"/>
      <c r="C1152" s="46"/>
      <c r="D1152" s="46"/>
      <c r="E1152" s="46"/>
      <c r="F1152" s="46"/>
      <c r="G1152" s="46"/>
      <c r="H1152" s="46"/>
      <c r="I1152" s="46"/>
      <c r="J1152" s="46"/>
      <c r="K1152" s="46"/>
      <c r="L1152" s="46"/>
      <c r="M1152" s="46"/>
      <c r="N1152" s="46"/>
      <c r="O1152" s="46"/>
      <c r="P1152" s="46"/>
      <c r="Q1152" s="46"/>
      <c r="R1152" s="46"/>
      <c r="S1152" s="46"/>
      <c r="T1152" s="46"/>
      <c r="U1152" s="46"/>
      <c r="V1152" s="46"/>
      <c r="W1152" s="46"/>
      <c r="X1152" s="46"/>
      <c r="Y1152" s="46"/>
      <c r="Z1152" s="46"/>
      <c r="AA1152" s="46"/>
      <c r="AB1152" s="46"/>
      <c r="AC1152" s="46"/>
      <c r="AD1152" s="46"/>
      <c r="AE1152" s="46"/>
      <c r="AF1152" s="46"/>
    </row>
    <row r="1153" spans="1:32" ht="10.199999999999999">
      <c r="A1153" s="46"/>
      <c r="B1153" s="46"/>
      <c r="C1153" s="46"/>
      <c r="D1153" s="46"/>
      <c r="E1153" s="46"/>
      <c r="F1153" s="46"/>
      <c r="G1153" s="46"/>
      <c r="H1153" s="46"/>
      <c r="I1153" s="46"/>
      <c r="J1153" s="46"/>
      <c r="K1153" s="46"/>
      <c r="L1153" s="46"/>
      <c r="M1153" s="46"/>
      <c r="N1153" s="46"/>
      <c r="O1153" s="46"/>
      <c r="P1153" s="46"/>
      <c r="Q1153" s="46"/>
      <c r="R1153" s="46"/>
      <c r="S1153" s="46"/>
      <c r="T1153" s="46"/>
      <c r="U1153" s="46"/>
      <c r="V1153" s="46"/>
      <c r="W1153" s="46"/>
      <c r="X1153" s="46"/>
      <c r="Y1153" s="46"/>
      <c r="Z1153" s="46"/>
      <c r="AA1153" s="46"/>
      <c r="AB1153" s="46"/>
      <c r="AC1153" s="46"/>
      <c r="AD1153" s="46"/>
      <c r="AE1153" s="46"/>
      <c r="AF1153" s="46"/>
    </row>
    <row r="1154" spans="1:32" ht="10.199999999999999">
      <c r="A1154" s="46"/>
      <c r="B1154" s="46"/>
      <c r="C1154" s="46"/>
      <c r="D1154" s="46"/>
      <c r="E1154" s="46"/>
      <c r="F1154" s="46"/>
      <c r="G1154" s="46"/>
      <c r="H1154" s="46"/>
      <c r="I1154" s="46"/>
      <c r="J1154" s="46"/>
      <c r="K1154" s="46"/>
      <c r="L1154" s="46"/>
      <c r="M1154" s="46"/>
      <c r="N1154" s="46"/>
      <c r="O1154" s="46"/>
      <c r="P1154" s="46"/>
      <c r="Q1154" s="46"/>
      <c r="R1154" s="46"/>
      <c r="S1154" s="46"/>
      <c r="T1154" s="46"/>
      <c r="U1154" s="46"/>
      <c r="V1154" s="46"/>
      <c r="W1154" s="46"/>
      <c r="X1154" s="46"/>
      <c r="Y1154" s="46"/>
      <c r="Z1154" s="46"/>
      <c r="AA1154" s="46"/>
      <c r="AB1154" s="46"/>
      <c r="AC1154" s="46"/>
      <c r="AD1154" s="46"/>
      <c r="AE1154" s="46"/>
      <c r="AF1154" s="46"/>
    </row>
    <row r="1155" spans="1:32" ht="10.199999999999999">
      <c r="A1155" s="46"/>
      <c r="B1155" s="46"/>
      <c r="C1155" s="46"/>
      <c r="D1155" s="46"/>
      <c r="E1155" s="46"/>
      <c r="F1155" s="46"/>
      <c r="G1155" s="46"/>
      <c r="H1155" s="46"/>
      <c r="I1155" s="46"/>
      <c r="J1155" s="46"/>
      <c r="K1155" s="46"/>
      <c r="L1155" s="46"/>
      <c r="M1155" s="46"/>
      <c r="N1155" s="46"/>
      <c r="O1155" s="46"/>
      <c r="P1155" s="46"/>
      <c r="Q1155" s="46"/>
      <c r="R1155" s="46"/>
      <c r="S1155" s="46"/>
      <c r="T1155" s="46"/>
      <c r="U1155" s="46"/>
      <c r="V1155" s="46"/>
      <c r="W1155" s="46"/>
      <c r="X1155" s="46"/>
      <c r="Y1155" s="46"/>
      <c r="Z1155" s="46"/>
      <c r="AA1155" s="46"/>
      <c r="AB1155" s="46"/>
      <c r="AC1155" s="46"/>
      <c r="AD1155" s="46"/>
      <c r="AE1155" s="46"/>
      <c r="AF1155" s="46"/>
    </row>
    <row r="1156" spans="1:32" ht="10.199999999999999">
      <c r="A1156" s="46"/>
      <c r="B1156" s="46"/>
      <c r="C1156" s="46"/>
      <c r="D1156" s="46"/>
      <c r="E1156" s="46"/>
      <c r="F1156" s="46"/>
      <c r="G1156" s="46"/>
      <c r="H1156" s="46"/>
      <c r="I1156" s="46"/>
      <c r="J1156" s="46"/>
      <c r="K1156" s="46"/>
      <c r="L1156" s="46"/>
      <c r="M1156" s="46"/>
      <c r="N1156" s="46"/>
      <c r="O1156" s="46"/>
      <c r="P1156" s="46"/>
      <c r="Q1156" s="46"/>
      <c r="R1156" s="46"/>
      <c r="S1156" s="46"/>
      <c r="T1156" s="46"/>
      <c r="U1156" s="46"/>
      <c r="V1156" s="46"/>
      <c r="W1156" s="46"/>
      <c r="X1156" s="46"/>
      <c r="Y1156" s="46"/>
      <c r="Z1156" s="46"/>
      <c r="AA1156" s="46"/>
      <c r="AB1156" s="46"/>
      <c r="AC1156" s="46"/>
      <c r="AD1156" s="46"/>
      <c r="AE1156" s="46"/>
      <c r="AF1156" s="46"/>
    </row>
    <row r="1157" spans="1:32" ht="10.199999999999999">
      <c r="A1157" s="46"/>
      <c r="B1157" s="46"/>
      <c r="C1157" s="46"/>
      <c r="D1157" s="46"/>
      <c r="E1157" s="46"/>
      <c r="F1157" s="46"/>
      <c r="G1157" s="46"/>
      <c r="H1157" s="46"/>
      <c r="I1157" s="46"/>
      <c r="J1157" s="46"/>
      <c r="K1157" s="46"/>
      <c r="L1157" s="46"/>
      <c r="M1157" s="46"/>
      <c r="N1157" s="46"/>
      <c r="O1157" s="46"/>
      <c r="P1157" s="46"/>
      <c r="Q1157" s="46"/>
      <c r="R1157" s="46"/>
      <c r="S1157" s="46"/>
      <c r="T1157" s="46"/>
      <c r="U1157" s="46"/>
      <c r="V1157" s="46"/>
      <c r="W1157" s="46"/>
      <c r="X1157" s="46"/>
      <c r="Y1157" s="46"/>
      <c r="Z1157" s="46"/>
      <c r="AA1157" s="46"/>
      <c r="AB1157" s="46"/>
      <c r="AC1157" s="46"/>
      <c r="AD1157" s="46"/>
      <c r="AE1157" s="46"/>
      <c r="AF1157" s="46"/>
    </row>
    <row r="1158" spans="1:32" ht="10.199999999999999">
      <c r="A1158" s="46"/>
      <c r="B1158" s="46"/>
      <c r="C1158" s="46"/>
      <c r="D1158" s="46"/>
      <c r="E1158" s="46"/>
      <c r="F1158" s="46"/>
      <c r="G1158" s="46"/>
      <c r="H1158" s="46"/>
      <c r="I1158" s="46"/>
      <c r="J1158" s="46"/>
      <c r="K1158" s="46"/>
      <c r="L1158" s="46"/>
      <c r="M1158" s="46"/>
      <c r="N1158" s="46"/>
      <c r="O1158" s="46"/>
      <c r="P1158" s="46"/>
      <c r="Q1158" s="46"/>
      <c r="R1158" s="46"/>
      <c r="S1158" s="46"/>
      <c r="T1158" s="46"/>
      <c r="U1158" s="46"/>
      <c r="V1158" s="46"/>
      <c r="W1158" s="46"/>
      <c r="X1158" s="46"/>
      <c r="Y1158" s="46"/>
      <c r="Z1158" s="46"/>
      <c r="AA1158" s="46"/>
      <c r="AB1158" s="46"/>
      <c r="AC1158" s="46"/>
      <c r="AD1158" s="46"/>
      <c r="AE1158" s="46"/>
      <c r="AF1158" s="46"/>
    </row>
    <row r="1159" spans="1:32" ht="10.199999999999999">
      <c r="A1159" s="46"/>
      <c r="B1159" s="46"/>
      <c r="C1159" s="46"/>
      <c r="D1159" s="46"/>
      <c r="E1159" s="46"/>
      <c r="F1159" s="46"/>
      <c r="G1159" s="46"/>
      <c r="H1159" s="46"/>
      <c r="I1159" s="46"/>
      <c r="J1159" s="46"/>
      <c r="K1159" s="46"/>
      <c r="L1159" s="46"/>
      <c r="M1159" s="46"/>
      <c r="N1159" s="46"/>
      <c r="O1159" s="46"/>
      <c r="P1159" s="46"/>
      <c r="Q1159" s="46"/>
      <c r="R1159" s="46"/>
      <c r="S1159" s="46"/>
      <c r="T1159" s="46"/>
      <c r="U1159" s="46"/>
      <c r="V1159" s="46"/>
      <c r="W1159" s="46"/>
      <c r="X1159" s="46"/>
      <c r="Y1159" s="46"/>
      <c r="Z1159" s="46"/>
      <c r="AA1159" s="46"/>
      <c r="AB1159" s="46"/>
      <c r="AC1159" s="46"/>
      <c r="AD1159" s="46"/>
      <c r="AE1159" s="46"/>
      <c r="AF1159" s="46"/>
    </row>
    <row r="1160" spans="1:32" ht="10.199999999999999">
      <c r="A1160" s="46"/>
      <c r="B1160" s="46"/>
      <c r="C1160" s="46"/>
      <c r="D1160" s="46"/>
      <c r="E1160" s="46"/>
      <c r="F1160" s="46"/>
      <c r="G1160" s="46"/>
      <c r="H1160" s="46"/>
      <c r="I1160" s="46"/>
      <c r="J1160" s="46"/>
      <c r="K1160" s="46"/>
      <c r="L1160" s="46"/>
      <c r="M1160" s="46"/>
      <c r="N1160" s="46"/>
      <c r="O1160" s="46"/>
      <c r="P1160" s="46"/>
      <c r="Q1160" s="46"/>
      <c r="R1160" s="46"/>
      <c r="S1160" s="46"/>
      <c r="T1160" s="46"/>
      <c r="U1160" s="46"/>
      <c r="V1160" s="46"/>
      <c r="W1160" s="46"/>
      <c r="X1160" s="46"/>
      <c r="Y1160" s="46"/>
      <c r="Z1160" s="46"/>
      <c r="AA1160" s="46"/>
      <c r="AB1160" s="46"/>
      <c r="AC1160" s="46"/>
      <c r="AD1160" s="46"/>
      <c r="AE1160" s="46"/>
      <c r="AF1160" s="46"/>
    </row>
    <row r="1161" spans="1:32" ht="10.199999999999999">
      <c r="A1161" s="46"/>
      <c r="B1161" s="46"/>
      <c r="C1161" s="46"/>
      <c r="D1161" s="46"/>
      <c r="E1161" s="46"/>
      <c r="F1161" s="46"/>
      <c r="G1161" s="46"/>
      <c r="H1161" s="46"/>
      <c r="I1161" s="46"/>
      <c r="J1161" s="46"/>
      <c r="K1161" s="46"/>
      <c r="L1161" s="46"/>
      <c r="M1161" s="46"/>
      <c r="N1161" s="46"/>
      <c r="O1161" s="46"/>
      <c r="P1161" s="46"/>
      <c r="Q1161" s="46"/>
      <c r="R1161" s="46"/>
      <c r="S1161" s="46"/>
      <c r="T1161" s="46"/>
      <c r="U1161" s="46"/>
      <c r="V1161" s="46"/>
      <c r="W1161" s="46"/>
      <c r="X1161" s="46"/>
      <c r="Y1161" s="46"/>
      <c r="Z1161" s="46"/>
      <c r="AA1161" s="46"/>
      <c r="AB1161" s="46"/>
      <c r="AC1161" s="46"/>
      <c r="AD1161" s="46"/>
      <c r="AE1161" s="46"/>
      <c r="AF1161" s="46"/>
    </row>
    <row r="1162" spans="1:32" ht="10.199999999999999">
      <c r="A1162" s="46"/>
      <c r="B1162" s="46"/>
      <c r="C1162" s="46"/>
      <c r="D1162" s="46"/>
      <c r="E1162" s="46"/>
      <c r="F1162" s="46"/>
      <c r="G1162" s="46"/>
      <c r="H1162" s="46"/>
      <c r="I1162" s="46"/>
      <c r="J1162" s="46"/>
      <c r="K1162" s="46"/>
      <c r="L1162" s="46"/>
      <c r="M1162" s="46"/>
      <c r="N1162" s="46"/>
      <c r="O1162" s="46"/>
      <c r="P1162" s="46"/>
      <c r="Q1162" s="46"/>
      <c r="R1162" s="46"/>
      <c r="S1162" s="46"/>
      <c r="T1162" s="46"/>
      <c r="U1162" s="46"/>
      <c r="V1162" s="46"/>
      <c r="W1162" s="46"/>
      <c r="X1162" s="46"/>
      <c r="Y1162" s="46"/>
      <c r="Z1162" s="46"/>
      <c r="AA1162" s="46"/>
      <c r="AB1162" s="46"/>
      <c r="AC1162" s="46"/>
      <c r="AD1162" s="46"/>
      <c r="AE1162" s="46"/>
      <c r="AF1162" s="46"/>
    </row>
    <row r="1163" spans="1:32" ht="10.199999999999999">
      <c r="A1163" s="46"/>
      <c r="B1163" s="46"/>
      <c r="C1163" s="46"/>
      <c r="D1163" s="46"/>
      <c r="E1163" s="46"/>
      <c r="F1163" s="46"/>
      <c r="G1163" s="46"/>
      <c r="H1163" s="46"/>
      <c r="I1163" s="46"/>
      <c r="J1163" s="46"/>
      <c r="K1163" s="46"/>
      <c r="L1163" s="46"/>
      <c r="M1163" s="46"/>
      <c r="N1163" s="46"/>
      <c r="O1163" s="46"/>
      <c r="P1163" s="46"/>
      <c r="Q1163" s="46"/>
      <c r="R1163" s="46"/>
      <c r="S1163" s="46"/>
      <c r="T1163" s="46"/>
      <c r="U1163" s="46"/>
      <c r="V1163" s="46"/>
      <c r="W1163" s="46"/>
      <c r="X1163" s="46"/>
      <c r="Y1163" s="46"/>
      <c r="Z1163" s="46"/>
      <c r="AA1163" s="46"/>
      <c r="AB1163" s="46"/>
      <c r="AC1163" s="46"/>
      <c r="AD1163" s="46"/>
      <c r="AE1163" s="46"/>
      <c r="AF1163" s="46"/>
    </row>
    <row r="1164" spans="1:32" ht="10.199999999999999">
      <c r="A1164" s="46"/>
      <c r="B1164" s="46"/>
      <c r="C1164" s="46"/>
      <c r="D1164" s="46"/>
      <c r="E1164" s="46"/>
      <c r="F1164" s="46"/>
      <c r="G1164" s="46"/>
      <c r="H1164" s="46"/>
      <c r="I1164" s="46"/>
      <c r="J1164" s="46"/>
      <c r="K1164" s="46"/>
      <c r="L1164" s="46"/>
      <c r="M1164" s="46"/>
      <c r="N1164" s="46"/>
      <c r="O1164" s="46"/>
      <c r="P1164" s="46"/>
      <c r="Q1164" s="46"/>
      <c r="R1164" s="46"/>
      <c r="S1164" s="46"/>
      <c r="T1164" s="46"/>
      <c r="U1164" s="46"/>
      <c r="V1164" s="46"/>
      <c r="W1164" s="46"/>
      <c r="X1164" s="46"/>
      <c r="Y1164" s="46"/>
      <c r="Z1164" s="46"/>
      <c r="AA1164" s="46"/>
      <c r="AB1164" s="46"/>
      <c r="AC1164" s="46"/>
      <c r="AD1164" s="46"/>
      <c r="AE1164" s="46"/>
      <c r="AF1164" s="46"/>
    </row>
    <row r="1165" spans="1:32" ht="10.199999999999999">
      <c r="A1165" s="46"/>
      <c r="B1165" s="46"/>
      <c r="C1165" s="46"/>
      <c r="D1165" s="46"/>
      <c r="E1165" s="46"/>
      <c r="F1165" s="46"/>
      <c r="G1165" s="46"/>
      <c r="H1165" s="46"/>
      <c r="I1165" s="46"/>
      <c r="J1165" s="46"/>
      <c r="K1165" s="46"/>
      <c r="L1165" s="46"/>
      <c r="M1165" s="46"/>
      <c r="N1165" s="46"/>
      <c r="O1165" s="46"/>
      <c r="P1165" s="46"/>
      <c r="Q1165" s="46"/>
      <c r="R1165" s="46"/>
      <c r="S1165" s="46"/>
      <c r="T1165" s="46"/>
      <c r="U1165" s="46"/>
      <c r="V1165" s="46"/>
      <c r="W1165" s="46"/>
      <c r="X1165" s="46"/>
      <c r="Y1165" s="46"/>
      <c r="Z1165" s="46"/>
      <c r="AA1165" s="46"/>
      <c r="AB1165" s="46"/>
      <c r="AC1165" s="46"/>
      <c r="AD1165" s="46"/>
      <c r="AE1165" s="46"/>
      <c r="AF1165" s="46"/>
    </row>
    <row r="1166" spans="1:32" ht="10.199999999999999">
      <c r="A1166" s="46"/>
      <c r="B1166" s="46"/>
      <c r="C1166" s="46"/>
      <c r="D1166" s="46"/>
      <c r="E1166" s="46"/>
      <c r="F1166" s="46"/>
      <c r="G1166" s="46"/>
      <c r="H1166" s="46"/>
      <c r="I1166" s="46"/>
      <c r="J1166" s="46"/>
      <c r="K1166" s="46"/>
      <c r="L1166" s="46"/>
      <c r="M1166" s="46"/>
      <c r="N1166" s="46"/>
      <c r="O1166" s="46"/>
      <c r="P1166" s="46"/>
      <c r="Q1166" s="46"/>
      <c r="R1166" s="46"/>
      <c r="S1166" s="46"/>
      <c r="T1166" s="46"/>
      <c r="U1166" s="46"/>
      <c r="V1166" s="46"/>
      <c r="W1166" s="46"/>
      <c r="X1166" s="46"/>
      <c r="Y1166" s="46"/>
      <c r="Z1166" s="46"/>
      <c r="AA1166" s="46"/>
      <c r="AB1166" s="46"/>
      <c r="AC1166" s="46"/>
      <c r="AD1166" s="46"/>
      <c r="AE1166" s="46"/>
      <c r="AF1166" s="46"/>
    </row>
    <row r="1167" spans="1:32" ht="10.199999999999999">
      <c r="A1167" s="46"/>
      <c r="B1167" s="46"/>
      <c r="C1167" s="46"/>
      <c r="D1167" s="46"/>
      <c r="E1167" s="46"/>
      <c r="F1167" s="46"/>
      <c r="G1167" s="46"/>
      <c r="H1167" s="46"/>
      <c r="I1167" s="46"/>
      <c r="J1167" s="46"/>
      <c r="K1167" s="46"/>
      <c r="L1167" s="46"/>
      <c r="M1167" s="46"/>
      <c r="N1167" s="46"/>
      <c r="O1167" s="46"/>
      <c r="P1167" s="46"/>
      <c r="Q1167" s="46"/>
      <c r="R1167" s="46"/>
      <c r="S1167" s="46"/>
      <c r="T1167" s="46"/>
      <c r="U1167" s="46"/>
      <c r="V1167" s="46"/>
      <c r="W1167" s="46"/>
      <c r="X1167" s="46"/>
      <c r="Y1167" s="46"/>
      <c r="Z1167" s="46"/>
      <c r="AA1167" s="46"/>
      <c r="AB1167" s="46"/>
      <c r="AC1167" s="46"/>
      <c r="AD1167" s="46"/>
      <c r="AE1167" s="46"/>
      <c r="AF1167" s="46"/>
    </row>
    <row r="1168" spans="1:32" ht="10.199999999999999">
      <c r="A1168" s="46"/>
      <c r="B1168" s="46"/>
      <c r="C1168" s="46"/>
      <c r="D1168" s="46"/>
      <c r="E1168" s="46"/>
      <c r="F1168" s="46"/>
      <c r="G1168" s="46"/>
      <c r="H1168" s="46"/>
      <c r="I1168" s="46"/>
      <c r="J1168" s="46"/>
      <c r="K1168" s="46"/>
      <c r="L1168" s="46"/>
      <c r="M1168" s="46"/>
      <c r="N1168" s="46"/>
      <c r="O1168" s="46"/>
      <c r="P1168" s="46"/>
      <c r="Q1168" s="46"/>
      <c r="R1168" s="46"/>
      <c r="S1168" s="46"/>
      <c r="T1168" s="46"/>
      <c r="U1168" s="46"/>
      <c r="V1168" s="46"/>
      <c r="W1168" s="46"/>
      <c r="X1168" s="46"/>
      <c r="Y1168" s="46"/>
      <c r="Z1168" s="46"/>
      <c r="AA1168" s="46"/>
      <c r="AB1168" s="46"/>
      <c r="AC1168" s="46"/>
      <c r="AD1168" s="46"/>
      <c r="AE1168" s="46"/>
      <c r="AF1168" s="46"/>
    </row>
    <row r="1169" spans="1:32" ht="10.199999999999999">
      <c r="A1169" s="46"/>
      <c r="B1169" s="46"/>
      <c r="C1169" s="46"/>
      <c r="D1169" s="46"/>
      <c r="E1169" s="46"/>
      <c r="F1169" s="46"/>
      <c r="G1169" s="46"/>
      <c r="H1169" s="46"/>
      <c r="I1169" s="46"/>
      <c r="J1169" s="46"/>
      <c r="K1169" s="46"/>
      <c r="L1169" s="46"/>
      <c r="M1169" s="46"/>
      <c r="N1169" s="46"/>
      <c r="O1169" s="46"/>
      <c r="P1169" s="46"/>
      <c r="Q1169" s="46"/>
      <c r="R1169" s="46"/>
      <c r="S1169" s="46"/>
      <c r="T1169" s="46"/>
      <c r="U1169" s="46"/>
      <c r="V1169" s="46"/>
      <c r="W1169" s="46"/>
      <c r="X1169" s="46"/>
      <c r="Y1169" s="46"/>
      <c r="Z1169" s="46"/>
      <c r="AA1169" s="46"/>
      <c r="AB1169" s="46"/>
      <c r="AC1169" s="46"/>
      <c r="AD1169" s="46"/>
      <c r="AE1169" s="46"/>
      <c r="AF1169" s="46"/>
    </row>
    <row r="1170" spans="1:32" ht="10.199999999999999">
      <c r="A1170" s="46"/>
      <c r="B1170" s="46"/>
      <c r="C1170" s="46"/>
      <c r="D1170" s="46"/>
      <c r="E1170" s="46"/>
      <c r="F1170" s="46"/>
      <c r="G1170" s="46"/>
      <c r="H1170" s="46"/>
      <c r="I1170" s="46"/>
      <c r="J1170" s="46"/>
      <c r="K1170" s="46"/>
      <c r="L1170" s="46"/>
      <c r="M1170" s="46"/>
      <c r="N1170" s="46"/>
      <c r="O1170" s="46"/>
      <c r="P1170" s="46"/>
      <c r="Q1170" s="46"/>
      <c r="R1170" s="46"/>
      <c r="S1170" s="46"/>
      <c r="T1170" s="46"/>
      <c r="U1170" s="46"/>
      <c r="V1170" s="46"/>
      <c r="W1170" s="46"/>
      <c r="X1170" s="46"/>
      <c r="Y1170" s="46"/>
      <c r="Z1170" s="46"/>
      <c r="AA1170" s="46"/>
      <c r="AB1170" s="46"/>
      <c r="AC1170" s="46"/>
      <c r="AD1170" s="46"/>
      <c r="AE1170" s="46"/>
      <c r="AF1170" s="46"/>
    </row>
    <row r="1171" spans="1:32" ht="10.199999999999999">
      <c r="A1171" s="46"/>
      <c r="B1171" s="46"/>
      <c r="C1171" s="46"/>
      <c r="D1171" s="46"/>
      <c r="E1171" s="46"/>
      <c r="F1171" s="46"/>
      <c r="G1171" s="46"/>
      <c r="H1171" s="46"/>
      <c r="I1171" s="46"/>
      <c r="J1171" s="46"/>
      <c r="K1171" s="46"/>
      <c r="L1171" s="46"/>
      <c r="M1171" s="46"/>
      <c r="N1171" s="46"/>
      <c r="O1171" s="46"/>
      <c r="P1171" s="46"/>
      <c r="Q1171" s="46"/>
      <c r="R1171" s="46"/>
      <c r="S1171" s="46"/>
      <c r="T1171" s="46"/>
      <c r="U1171" s="46"/>
      <c r="V1171" s="46"/>
      <c r="W1171" s="46"/>
      <c r="X1171" s="46"/>
      <c r="Y1171" s="46"/>
      <c r="Z1171" s="46"/>
      <c r="AA1171" s="46"/>
      <c r="AB1171" s="46"/>
      <c r="AC1171" s="46"/>
      <c r="AD1171" s="46"/>
      <c r="AE1171" s="46"/>
      <c r="AF1171" s="46"/>
    </row>
    <row r="1172" spans="1:32" ht="10.199999999999999">
      <c r="A1172" s="46"/>
      <c r="B1172" s="46"/>
      <c r="C1172" s="46"/>
      <c r="D1172" s="46"/>
      <c r="E1172" s="46"/>
      <c r="F1172" s="46"/>
      <c r="G1172" s="46"/>
      <c r="H1172" s="46"/>
      <c r="I1172" s="46"/>
      <c r="J1172" s="46"/>
      <c r="K1172" s="46"/>
      <c r="L1172" s="46"/>
      <c r="M1172" s="46"/>
      <c r="N1172" s="46"/>
      <c r="O1172" s="46"/>
      <c r="P1172" s="46"/>
      <c r="Q1172" s="46"/>
      <c r="R1172" s="46"/>
      <c r="S1172" s="46"/>
      <c r="T1172" s="46"/>
      <c r="U1172" s="46"/>
      <c r="V1172" s="46"/>
      <c r="W1172" s="46"/>
      <c r="X1172" s="46"/>
      <c r="Y1172" s="46"/>
      <c r="Z1172" s="46"/>
      <c r="AA1172" s="46"/>
      <c r="AB1172" s="46"/>
      <c r="AC1172" s="46"/>
      <c r="AD1172" s="46"/>
      <c r="AE1172" s="46"/>
      <c r="AF1172" s="46"/>
    </row>
    <row r="1173" spans="1:32" ht="10.199999999999999">
      <c r="A1173" s="46"/>
      <c r="B1173" s="46"/>
      <c r="C1173" s="46"/>
      <c r="D1173" s="46"/>
      <c r="E1173" s="46"/>
      <c r="F1173" s="46"/>
      <c r="G1173" s="46"/>
      <c r="H1173" s="46"/>
      <c r="I1173" s="46"/>
      <c r="J1173" s="46"/>
      <c r="K1173" s="46"/>
      <c r="L1173" s="46"/>
      <c r="M1173" s="46"/>
      <c r="N1173" s="46"/>
      <c r="O1173" s="46"/>
      <c r="P1173" s="46"/>
      <c r="Q1173" s="46"/>
      <c r="R1173" s="46"/>
      <c r="S1173" s="46"/>
      <c r="T1173" s="46"/>
      <c r="U1173" s="46"/>
      <c r="V1173" s="46"/>
      <c r="W1173" s="46"/>
      <c r="X1173" s="46"/>
      <c r="Y1173" s="46"/>
      <c r="Z1173" s="46"/>
      <c r="AA1173" s="46"/>
      <c r="AB1173" s="46"/>
      <c r="AC1173" s="46"/>
      <c r="AD1173" s="46"/>
      <c r="AE1173" s="46"/>
      <c r="AF1173" s="46"/>
    </row>
    <row r="1174" spans="1:32" ht="10.199999999999999">
      <c r="A1174" s="46"/>
      <c r="B1174" s="46"/>
      <c r="C1174" s="46"/>
      <c r="D1174" s="46"/>
      <c r="E1174" s="46"/>
      <c r="F1174" s="46"/>
      <c r="G1174" s="46"/>
      <c r="H1174" s="46"/>
      <c r="I1174" s="46"/>
      <c r="J1174" s="46"/>
      <c r="K1174" s="46"/>
      <c r="L1174" s="46"/>
      <c r="M1174" s="46"/>
      <c r="N1174" s="46"/>
      <c r="O1174" s="46"/>
      <c r="P1174" s="46"/>
      <c r="Q1174" s="46"/>
      <c r="R1174" s="46"/>
      <c r="S1174" s="46"/>
      <c r="T1174" s="46"/>
      <c r="U1174" s="46"/>
      <c r="V1174" s="46"/>
      <c r="W1174" s="46"/>
      <c r="X1174" s="46"/>
      <c r="Y1174" s="46"/>
      <c r="Z1174" s="46"/>
      <c r="AA1174" s="46"/>
      <c r="AB1174" s="46"/>
      <c r="AC1174" s="46"/>
      <c r="AD1174" s="46"/>
      <c r="AE1174" s="46"/>
      <c r="AF1174" s="46"/>
    </row>
    <row r="1175" spans="1:32" ht="10.199999999999999">
      <c r="A1175" s="46"/>
      <c r="B1175" s="46"/>
      <c r="C1175" s="46"/>
      <c r="D1175" s="46"/>
      <c r="E1175" s="46"/>
      <c r="F1175" s="46"/>
      <c r="G1175" s="46"/>
      <c r="H1175" s="46"/>
      <c r="I1175" s="46"/>
      <c r="J1175" s="46"/>
      <c r="K1175" s="46"/>
      <c r="L1175" s="46"/>
      <c r="M1175" s="46"/>
      <c r="N1175" s="46"/>
      <c r="O1175" s="46"/>
      <c r="P1175" s="46"/>
      <c r="Q1175" s="46"/>
      <c r="R1175" s="46"/>
      <c r="S1175" s="46"/>
      <c r="T1175" s="46"/>
      <c r="U1175" s="46"/>
      <c r="V1175" s="46"/>
      <c r="W1175" s="46"/>
      <c r="X1175" s="46"/>
      <c r="Y1175" s="46"/>
      <c r="Z1175" s="46"/>
      <c r="AA1175" s="46"/>
      <c r="AB1175" s="46"/>
      <c r="AC1175" s="46"/>
      <c r="AD1175" s="46"/>
      <c r="AE1175" s="46"/>
      <c r="AF1175" s="46"/>
    </row>
    <row r="1176" spans="1:32" ht="10.199999999999999">
      <c r="A1176" s="46"/>
      <c r="B1176" s="46"/>
      <c r="C1176" s="46"/>
      <c r="D1176" s="46"/>
      <c r="E1176" s="46"/>
      <c r="F1176" s="46"/>
      <c r="G1176" s="46"/>
      <c r="H1176" s="46"/>
      <c r="I1176" s="46"/>
      <c r="J1176" s="46"/>
      <c r="K1176" s="46"/>
      <c r="L1176" s="46"/>
      <c r="M1176" s="46"/>
      <c r="N1176" s="46"/>
      <c r="O1176" s="46"/>
      <c r="P1176" s="46"/>
      <c r="Q1176" s="46"/>
      <c r="R1176" s="46"/>
      <c r="S1176" s="46"/>
      <c r="T1176" s="46"/>
      <c r="U1176" s="46"/>
      <c r="V1176" s="46"/>
      <c r="W1176" s="46"/>
      <c r="X1176" s="46"/>
      <c r="Y1176" s="46"/>
      <c r="Z1176" s="46"/>
      <c r="AA1176" s="46"/>
      <c r="AB1176" s="46"/>
      <c r="AC1176" s="46"/>
      <c r="AD1176" s="46"/>
      <c r="AE1176" s="46"/>
      <c r="AF1176" s="46"/>
    </row>
    <row r="1177" spans="1:32" ht="10.199999999999999">
      <c r="A1177" s="46"/>
      <c r="B1177" s="46"/>
      <c r="C1177" s="46"/>
      <c r="D1177" s="46"/>
      <c r="E1177" s="46"/>
      <c r="F1177" s="46"/>
      <c r="G1177" s="46"/>
      <c r="H1177" s="46"/>
      <c r="I1177" s="46"/>
      <c r="J1177" s="46"/>
      <c r="K1177" s="46"/>
      <c r="L1177" s="46"/>
      <c r="M1177" s="46"/>
      <c r="N1177" s="46"/>
      <c r="O1177" s="46"/>
      <c r="P1177" s="46"/>
      <c r="Q1177" s="46"/>
      <c r="R1177" s="46"/>
      <c r="S1177" s="46"/>
      <c r="T1177" s="46"/>
      <c r="U1177" s="46"/>
      <c r="V1177" s="46"/>
      <c r="W1177" s="46"/>
      <c r="X1177" s="46"/>
      <c r="Y1177" s="46"/>
      <c r="Z1177" s="46"/>
      <c r="AA1177" s="46"/>
      <c r="AB1177" s="46"/>
      <c r="AC1177" s="46"/>
      <c r="AD1177" s="46"/>
      <c r="AE1177" s="46"/>
      <c r="AF1177" s="46"/>
    </row>
    <row r="1178" spans="1:32" ht="10.199999999999999">
      <c r="A1178" s="46"/>
      <c r="B1178" s="46"/>
      <c r="C1178" s="46"/>
      <c r="D1178" s="46"/>
      <c r="E1178" s="46"/>
      <c r="F1178" s="46"/>
      <c r="G1178" s="46"/>
      <c r="H1178" s="46"/>
      <c r="I1178" s="46"/>
      <c r="J1178" s="46"/>
      <c r="K1178" s="46"/>
      <c r="L1178" s="46"/>
      <c r="M1178" s="46"/>
      <c r="N1178" s="46"/>
      <c r="O1178" s="46"/>
      <c r="P1178" s="46"/>
      <c r="Q1178" s="46"/>
      <c r="R1178" s="46"/>
      <c r="S1178" s="46"/>
      <c r="T1178" s="46"/>
      <c r="U1178" s="46"/>
      <c r="V1178" s="46"/>
      <c r="W1178" s="46"/>
      <c r="X1178" s="46"/>
      <c r="Y1178" s="46"/>
      <c r="Z1178" s="46"/>
      <c r="AA1178" s="46"/>
      <c r="AB1178" s="46"/>
      <c r="AC1178" s="46"/>
      <c r="AD1178" s="46"/>
      <c r="AE1178" s="46"/>
      <c r="AF1178" s="46"/>
    </row>
    <row r="1179" spans="1:32" ht="10.199999999999999">
      <c r="A1179" s="46"/>
      <c r="B1179" s="46"/>
      <c r="C1179" s="46"/>
      <c r="D1179" s="46"/>
      <c r="E1179" s="46"/>
      <c r="F1179" s="46"/>
      <c r="G1179" s="46"/>
      <c r="H1179" s="46"/>
      <c r="I1179" s="46"/>
      <c r="J1179" s="46"/>
      <c r="K1179" s="46"/>
      <c r="L1179" s="46"/>
      <c r="M1179" s="46"/>
      <c r="N1179" s="46"/>
      <c r="O1179" s="46"/>
      <c r="P1179" s="46"/>
      <c r="Q1179" s="46"/>
      <c r="R1179" s="46"/>
      <c r="S1179" s="46"/>
      <c r="T1179" s="46"/>
      <c r="U1179" s="46"/>
      <c r="V1179" s="46"/>
      <c r="W1179" s="46"/>
      <c r="X1179" s="46"/>
      <c r="Y1179" s="46"/>
      <c r="Z1179" s="46"/>
      <c r="AA1179" s="46"/>
      <c r="AB1179" s="46"/>
      <c r="AC1179" s="46"/>
      <c r="AD1179" s="46"/>
      <c r="AE1179" s="46"/>
      <c r="AF1179" s="46"/>
    </row>
    <row r="1180" spans="1:32" ht="10.199999999999999">
      <c r="A1180" s="46"/>
      <c r="B1180" s="46"/>
      <c r="C1180" s="46"/>
      <c r="D1180" s="46"/>
      <c r="E1180" s="46"/>
      <c r="F1180" s="46"/>
      <c r="G1180" s="46"/>
      <c r="H1180" s="46"/>
      <c r="I1180" s="46"/>
      <c r="J1180" s="46"/>
      <c r="K1180" s="46"/>
      <c r="L1180" s="46"/>
      <c r="M1180" s="46"/>
      <c r="N1180" s="46"/>
      <c r="O1180" s="46"/>
      <c r="P1180" s="46"/>
      <c r="Q1180" s="46"/>
      <c r="R1180" s="46"/>
      <c r="S1180" s="46"/>
      <c r="T1180" s="46"/>
      <c r="U1180" s="46"/>
      <c r="V1180" s="46"/>
      <c r="W1180" s="46"/>
      <c r="X1180" s="46"/>
      <c r="Y1180" s="46"/>
      <c r="Z1180" s="46"/>
      <c r="AA1180" s="46"/>
      <c r="AB1180" s="46"/>
      <c r="AC1180" s="46"/>
      <c r="AD1180" s="46"/>
      <c r="AE1180" s="46"/>
      <c r="AF1180" s="46"/>
    </row>
    <row r="1181" spans="1:32" ht="10.199999999999999">
      <c r="A1181" s="46"/>
      <c r="B1181" s="46"/>
      <c r="C1181" s="46"/>
      <c r="D1181" s="46"/>
      <c r="E1181" s="46"/>
      <c r="F1181" s="46"/>
      <c r="G1181" s="46"/>
      <c r="H1181" s="46"/>
      <c r="I1181" s="46"/>
      <c r="J1181" s="46"/>
      <c r="K1181" s="46"/>
      <c r="L1181" s="46"/>
      <c r="M1181" s="46"/>
      <c r="N1181" s="46"/>
      <c r="O1181" s="46"/>
      <c r="P1181" s="46"/>
      <c r="Q1181" s="46"/>
      <c r="R1181" s="46"/>
      <c r="S1181" s="46"/>
      <c r="T1181" s="46"/>
      <c r="U1181" s="46"/>
      <c r="V1181" s="46"/>
      <c r="W1181" s="46"/>
      <c r="X1181" s="46"/>
      <c r="Y1181" s="46"/>
      <c r="Z1181" s="46"/>
      <c r="AA1181" s="46"/>
      <c r="AB1181" s="46"/>
      <c r="AC1181" s="46"/>
      <c r="AD1181" s="46"/>
      <c r="AE1181" s="46"/>
      <c r="AF1181" s="46"/>
    </row>
    <row r="1182" spans="1:32" ht="10.199999999999999">
      <c r="A1182" s="46"/>
      <c r="B1182" s="46"/>
      <c r="C1182" s="46"/>
      <c r="D1182" s="46"/>
      <c r="E1182" s="46"/>
      <c r="F1182" s="46"/>
      <c r="G1182" s="46"/>
      <c r="H1182" s="46"/>
      <c r="I1182" s="46"/>
      <c r="J1182" s="46"/>
      <c r="K1182" s="46"/>
      <c r="L1182" s="46"/>
      <c r="M1182" s="46"/>
      <c r="N1182" s="46"/>
      <c r="O1182" s="46"/>
      <c r="P1182" s="46"/>
      <c r="Q1182" s="46"/>
      <c r="R1182" s="46"/>
      <c r="S1182" s="46"/>
      <c r="T1182" s="46"/>
      <c r="U1182" s="46"/>
      <c r="V1182" s="46"/>
      <c r="W1182" s="46"/>
      <c r="X1182" s="46"/>
      <c r="Y1182" s="46"/>
      <c r="Z1182" s="46"/>
      <c r="AA1182" s="46"/>
      <c r="AB1182" s="46"/>
      <c r="AC1182" s="46"/>
      <c r="AD1182" s="46"/>
      <c r="AE1182" s="46"/>
      <c r="AF1182" s="46"/>
    </row>
    <row r="1183" spans="1:32" ht="10.199999999999999">
      <c r="A1183" s="46"/>
      <c r="B1183" s="46"/>
      <c r="C1183" s="46"/>
      <c r="D1183" s="46"/>
      <c r="E1183" s="46"/>
      <c r="F1183" s="46"/>
      <c r="G1183" s="46"/>
      <c r="H1183" s="46"/>
      <c r="I1183" s="46"/>
      <c r="J1183" s="46"/>
      <c r="K1183" s="46"/>
      <c r="L1183" s="46"/>
      <c r="M1183" s="46"/>
      <c r="N1183" s="46"/>
      <c r="O1183" s="46"/>
      <c r="P1183" s="46"/>
      <c r="Q1183" s="46"/>
      <c r="R1183" s="46"/>
      <c r="S1183" s="46"/>
      <c r="T1183" s="46"/>
      <c r="U1183" s="46"/>
      <c r="V1183" s="46"/>
      <c r="W1183" s="46"/>
      <c r="X1183" s="46"/>
      <c r="Y1183" s="46"/>
      <c r="Z1183" s="46"/>
      <c r="AA1183" s="46"/>
      <c r="AB1183" s="46"/>
      <c r="AC1183" s="46"/>
      <c r="AD1183" s="46"/>
      <c r="AE1183" s="46"/>
      <c r="AF1183" s="46"/>
    </row>
    <row r="1184" spans="1:32" ht="10.199999999999999">
      <c r="A1184" s="46"/>
      <c r="B1184" s="46"/>
      <c r="C1184" s="46"/>
      <c r="D1184" s="46"/>
      <c r="E1184" s="46"/>
      <c r="F1184" s="46"/>
      <c r="G1184" s="46"/>
      <c r="H1184" s="46"/>
      <c r="I1184" s="46"/>
      <c r="J1184" s="46"/>
      <c r="K1184" s="46"/>
      <c r="L1184" s="46"/>
      <c r="M1184" s="46"/>
      <c r="N1184" s="46"/>
      <c r="O1184" s="46"/>
      <c r="P1184" s="46"/>
      <c r="Q1184" s="46"/>
      <c r="R1184" s="46"/>
      <c r="S1184" s="46"/>
      <c r="T1184" s="46"/>
      <c r="U1184" s="46"/>
      <c r="V1184" s="46"/>
      <c r="W1184" s="46"/>
      <c r="X1184" s="46"/>
      <c r="Y1184" s="46"/>
      <c r="Z1184" s="46"/>
      <c r="AA1184" s="46"/>
      <c r="AB1184" s="46"/>
      <c r="AC1184" s="46"/>
      <c r="AD1184" s="46"/>
      <c r="AE1184" s="46"/>
      <c r="AF1184" s="46"/>
    </row>
    <row r="1185" spans="1:32" ht="10.199999999999999">
      <c r="A1185" s="46"/>
      <c r="B1185" s="46"/>
      <c r="C1185" s="46"/>
      <c r="D1185" s="46"/>
      <c r="E1185" s="46"/>
      <c r="F1185" s="46"/>
      <c r="G1185" s="46"/>
      <c r="H1185" s="46"/>
      <c r="I1185" s="46"/>
      <c r="J1185" s="46"/>
      <c r="K1185" s="46"/>
      <c r="L1185" s="46"/>
      <c r="M1185" s="46"/>
      <c r="N1185" s="46"/>
      <c r="O1185" s="46"/>
      <c r="P1185" s="46"/>
      <c r="Q1185" s="46"/>
      <c r="R1185" s="46"/>
      <c r="S1185" s="46"/>
      <c r="T1185" s="46"/>
      <c r="U1185" s="46"/>
      <c r="V1185" s="46"/>
      <c r="W1185" s="46"/>
      <c r="X1185" s="46"/>
      <c r="Y1185" s="46"/>
      <c r="Z1185" s="46"/>
      <c r="AA1185" s="46"/>
      <c r="AB1185" s="46"/>
      <c r="AC1185" s="46"/>
      <c r="AD1185" s="46"/>
      <c r="AE1185" s="46"/>
      <c r="AF1185" s="46"/>
    </row>
    <row r="1186" spans="1:32" ht="10.199999999999999">
      <c r="A1186" s="46"/>
      <c r="B1186" s="46"/>
      <c r="C1186" s="46"/>
      <c r="D1186" s="46"/>
      <c r="E1186" s="46"/>
      <c r="F1186" s="46"/>
      <c r="G1186" s="46"/>
      <c r="H1186" s="46"/>
      <c r="I1186" s="46"/>
      <c r="J1186" s="46"/>
      <c r="K1186" s="46"/>
      <c r="L1186" s="46"/>
      <c r="M1186" s="46"/>
      <c r="N1186" s="46"/>
      <c r="O1186" s="46"/>
      <c r="P1186" s="46"/>
      <c r="Q1186" s="46"/>
      <c r="R1186" s="46"/>
      <c r="S1186" s="46"/>
      <c r="T1186" s="46"/>
      <c r="U1186" s="46"/>
      <c r="V1186" s="46"/>
      <c r="W1186" s="46"/>
      <c r="X1186" s="46"/>
      <c r="Y1186" s="46"/>
      <c r="Z1186" s="46"/>
      <c r="AA1186" s="46"/>
      <c r="AB1186" s="46"/>
      <c r="AC1186" s="46"/>
      <c r="AD1186" s="46"/>
      <c r="AE1186" s="46"/>
      <c r="AF1186" s="46"/>
    </row>
    <row r="1187" spans="1:32" ht="10.199999999999999">
      <c r="A1187" s="46"/>
      <c r="B1187" s="46"/>
      <c r="C1187" s="46"/>
      <c r="D1187" s="46"/>
      <c r="E1187" s="46"/>
      <c r="F1187" s="46"/>
      <c r="G1187" s="46"/>
      <c r="H1187" s="46"/>
      <c r="I1187" s="46"/>
      <c r="J1187" s="46"/>
      <c r="K1187" s="46"/>
      <c r="L1187" s="46"/>
      <c r="M1187" s="46"/>
      <c r="N1187" s="46"/>
      <c r="O1187" s="46"/>
      <c r="P1187" s="46"/>
      <c r="Q1187" s="46"/>
      <c r="R1187" s="46"/>
      <c r="S1187" s="46"/>
      <c r="T1187" s="46"/>
      <c r="U1187" s="46"/>
      <c r="V1187" s="46"/>
      <c r="W1187" s="46"/>
      <c r="X1187" s="46"/>
      <c r="Y1187" s="46"/>
      <c r="Z1187" s="46"/>
      <c r="AA1187" s="46"/>
      <c r="AB1187" s="46"/>
      <c r="AC1187" s="46"/>
      <c r="AD1187" s="46"/>
      <c r="AE1187" s="46"/>
      <c r="AF1187" s="46"/>
    </row>
    <row r="1188" spans="1:32" ht="10.199999999999999">
      <c r="A1188" s="46"/>
      <c r="B1188" s="46"/>
      <c r="C1188" s="46"/>
      <c r="D1188" s="46"/>
      <c r="E1188" s="46"/>
      <c r="F1188" s="46"/>
      <c r="G1188" s="46"/>
      <c r="H1188" s="46"/>
      <c r="I1188" s="46"/>
      <c r="J1188" s="46"/>
      <c r="K1188" s="46"/>
      <c r="L1188" s="46"/>
      <c r="M1188" s="46"/>
      <c r="N1188" s="46"/>
      <c r="O1188" s="46"/>
      <c r="P1188" s="46"/>
      <c r="Q1188" s="46"/>
      <c r="R1188" s="46"/>
      <c r="S1188" s="46"/>
      <c r="T1188" s="46"/>
      <c r="U1188" s="46"/>
      <c r="V1188" s="46"/>
      <c r="W1188" s="46"/>
      <c r="X1188" s="46"/>
      <c r="Y1188" s="46"/>
      <c r="Z1188" s="46"/>
      <c r="AA1188" s="46"/>
      <c r="AB1188" s="46"/>
      <c r="AC1188" s="46"/>
      <c r="AD1188" s="46"/>
      <c r="AE1188" s="46"/>
      <c r="AF1188" s="46"/>
    </row>
    <row r="1189" spans="1:32" ht="10.199999999999999">
      <c r="A1189" s="46"/>
      <c r="B1189" s="46"/>
      <c r="C1189" s="46"/>
      <c r="D1189" s="46"/>
      <c r="E1189" s="46"/>
      <c r="F1189" s="46"/>
      <c r="G1189" s="46"/>
      <c r="H1189" s="46"/>
      <c r="I1189" s="46"/>
      <c r="J1189" s="46"/>
      <c r="K1189" s="46"/>
      <c r="L1189" s="46"/>
      <c r="M1189" s="46"/>
      <c r="N1189" s="46"/>
      <c r="O1189" s="46"/>
      <c r="P1189" s="46"/>
      <c r="Q1189" s="46"/>
      <c r="R1189" s="46"/>
      <c r="S1189" s="46"/>
      <c r="T1189" s="46"/>
      <c r="U1189" s="46"/>
      <c r="V1189" s="46"/>
      <c r="W1189" s="46"/>
      <c r="X1189" s="46"/>
      <c r="Y1189" s="46"/>
      <c r="Z1189" s="46"/>
      <c r="AA1189" s="46"/>
      <c r="AB1189" s="46"/>
      <c r="AC1189" s="46"/>
      <c r="AD1189" s="46"/>
      <c r="AE1189" s="46"/>
      <c r="AF1189" s="46"/>
    </row>
    <row r="1190" spans="1:32" ht="10.199999999999999">
      <c r="A1190" s="46"/>
      <c r="B1190" s="46"/>
      <c r="C1190" s="46"/>
      <c r="D1190" s="46"/>
      <c r="E1190" s="46"/>
      <c r="F1190" s="46"/>
      <c r="G1190" s="46"/>
      <c r="H1190" s="46"/>
      <c r="I1190" s="46"/>
      <c r="J1190" s="46"/>
      <c r="K1190" s="46"/>
      <c r="L1190" s="46"/>
      <c r="M1190" s="46"/>
      <c r="N1190" s="46"/>
      <c r="O1190" s="46"/>
      <c r="P1190" s="46"/>
      <c r="Q1190" s="46"/>
      <c r="R1190" s="46"/>
      <c r="S1190" s="46"/>
      <c r="T1190" s="46"/>
      <c r="U1190" s="46"/>
      <c r="V1190" s="46"/>
      <c r="W1190" s="46"/>
      <c r="X1190" s="46"/>
      <c r="Y1190" s="46"/>
      <c r="Z1190" s="46"/>
      <c r="AA1190" s="46"/>
      <c r="AB1190" s="46"/>
      <c r="AC1190" s="46"/>
      <c r="AD1190" s="46"/>
      <c r="AE1190" s="46"/>
      <c r="AF1190" s="46"/>
    </row>
    <row r="1191" spans="1:32" ht="10.199999999999999">
      <c r="A1191" s="46"/>
      <c r="B1191" s="46"/>
      <c r="C1191" s="46"/>
      <c r="D1191" s="46"/>
      <c r="E1191" s="46"/>
      <c r="F1191" s="46"/>
      <c r="G1191" s="46"/>
      <c r="H1191" s="46"/>
      <c r="I1191" s="46"/>
      <c r="J1191" s="46"/>
      <c r="K1191" s="46"/>
      <c r="L1191" s="46"/>
      <c r="M1191" s="46"/>
      <c r="N1191" s="46"/>
      <c r="O1191" s="46"/>
      <c r="P1191" s="46"/>
      <c r="Q1191" s="46"/>
      <c r="R1191" s="46"/>
      <c r="S1191" s="46"/>
      <c r="T1191" s="46"/>
      <c r="U1191" s="46"/>
      <c r="V1191" s="46"/>
      <c r="W1191" s="46"/>
      <c r="X1191" s="46"/>
      <c r="Y1191" s="46"/>
      <c r="Z1191" s="46"/>
      <c r="AA1191" s="46"/>
      <c r="AB1191" s="46"/>
      <c r="AC1191" s="46"/>
      <c r="AD1191" s="46"/>
      <c r="AE1191" s="46"/>
      <c r="AF1191" s="46"/>
    </row>
    <row r="1192" spans="1:32" ht="10.199999999999999">
      <c r="A1192" s="46"/>
      <c r="B1192" s="46"/>
      <c r="C1192" s="46"/>
      <c r="D1192" s="46"/>
      <c r="E1192" s="46"/>
      <c r="F1192" s="46"/>
      <c r="G1192" s="46"/>
      <c r="H1192" s="46"/>
      <c r="I1192" s="46"/>
      <c r="J1192" s="46"/>
      <c r="K1192" s="46"/>
      <c r="L1192" s="46"/>
      <c r="M1192" s="46"/>
      <c r="N1192" s="46"/>
      <c r="O1192" s="46"/>
      <c r="P1192" s="46"/>
      <c r="Q1192" s="46"/>
      <c r="R1192" s="46"/>
      <c r="S1192" s="46"/>
      <c r="T1192" s="46"/>
      <c r="U1192" s="46"/>
      <c r="V1192" s="46"/>
      <c r="W1192" s="46"/>
      <c r="X1192" s="46"/>
      <c r="Y1192" s="46"/>
      <c r="Z1192" s="46"/>
      <c r="AA1192" s="46"/>
      <c r="AB1192" s="46"/>
      <c r="AC1192" s="46"/>
      <c r="AD1192" s="46"/>
      <c r="AE1192" s="46"/>
      <c r="AF1192" s="46"/>
    </row>
    <row r="1193" spans="1:32" ht="10.199999999999999">
      <c r="A1193" s="46"/>
      <c r="B1193" s="46"/>
      <c r="C1193" s="46"/>
      <c r="D1193" s="46"/>
      <c r="E1193" s="46"/>
      <c r="F1193" s="46"/>
      <c r="G1193" s="46"/>
      <c r="H1193" s="46"/>
      <c r="I1193" s="46"/>
      <c r="J1193" s="46"/>
      <c r="K1193" s="46"/>
      <c r="L1193" s="46"/>
      <c r="M1193" s="46"/>
      <c r="N1193" s="46"/>
      <c r="O1193" s="46"/>
      <c r="P1193" s="46"/>
      <c r="Q1193" s="46"/>
      <c r="R1193" s="46"/>
      <c r="S1193" s="46"/>
      <c r="T1193" s="46"/>
      <c r="U1193" s="46"/>
      <c r="V1193" s="46"/>
      <c r="W1193" s="46"/>
      <c r="X1193" s="46"/>
      <c r="Y1193" s="46"/>
      <c r="Z1193" s="46"/>
      <c r="AA1193" s="46"/>
      <c r="AB1193" s="46"/>
      <c r="AC1193" s="46"/>
      <c r="AD1193" s="46"/>
      <c r="AE1193" s="46"/>
      <c r="AF1193" s="46"/>
    </row>
    <row r="1194" spans="1:32" ht="10.199999999999999">
      <c r="A1194" s="46"/>
      <c r="B1194" s="46"/>
      <c r="C1194" s="46"/>
      <c r="D1194" s="46"/>
      <c r="E1194" s="46"/>
      <c r="F1194" s="46"/>
      <c r="G1194" s="46"/>
      <c r="H1194" s="46"/>
      <c r="I1194" s="46"/>
      <c r="J1194" s="46"/>
      <c r="K1194" s="46"/>
      <c r="L1194" s="46"/>
      <c r="M1194" s="46"/>
      <c r="N1194" s="46"/>
      <c r="O1194" s="46"/>
      <c r="P1194" s="46"/>
      <c r="Q1194" s="46"/>
      <c r="R1194" s="46"/>
      <c r="S1194" s="46"/>
      <c r="T1194" s="46"/>
      <c r="U1194" s="46"/>
      <c r="V1194" s="46"/>
      <c r="W1194" s="46"/>
      <c r="X1194" s="46"/>
      <c r="Y1194" s="46"/>
      <c r="Z1194" s="46"/>
      <c r="AA1194" s="46"/>
      <c r="AB1194" s="46"/>
      <c r="AC1194" s="46"/>
      <c r="AD1194" s="46"/>
      <c r="AE1194" s="46"/>
      <c r="AF1194" s="46"/>
    </row>
    <row r="1195" spans="1:32" ht="10.199999999999999">
      <c r="A1195" s="46"/>
      <c r="B1195" s="46"/>
      <c r="C1195" s="46"/>
      <c r="D1195" s="46"/>
      <c r="E1195" s="46"/>
      <c r="F1195" s="46"/>
      <c r="G1195" s="46"/>
      <c r="H1195" s="46"/>
      <c r="I1195" s="46"/>
      <c r="J1195" s="46"/>
      <c r="K1195" s="46"/>
      <c r="L1195" s="46"/>
      <c r="M1195" s="46"/>
      <c r="N1195" s="46"/>
      <c r="O1195" s="46"/>
      <c r="P1195" s="46"/>
      <c r="Q1195" s="46"/>
      <c r="R1195" s="46"/>
      <c r="S1195" s="46"/>
      <c r="T1195" s="46"/>
      <c r="U1195" s="46"/>
      <c r="V1195" s="46"/>
      <c r="W1195" s="46"/>
      <c r="X1195" s="46"/>
      <c r="Y1195" s="46"/>
      <c r="Z1195" s="46"/>
      <c r="AA1195" s="46"/>
      <c r="AB1195" s="46"/>
      <c r="AC1195" s="46"/>
      <c r="AD1195" s="46"/>
      <c r="AE1195" s="46"/>
      <c r="AF1195" s="46"/>
    </row>
    <row r="1196" spans="1:32" ht="10.199999999999999">
      <c r="A1196" s="46"/>
      <c r="B1196" s="46"/>
      <c r="C1196" s="46"/>
      <c r="D1196" s="46"/>
      <c r="E1196" s="46"/>
      <c r="F1196" s="46"/>
      <c r="G1196" s="46"/>
      <c r="H1196" s="46"/>
      <c r="I1196" s="46"/>
      <c r="J1196" s="46"/>
      <c r="K1196" s="46"/>
      <c r="L1196" s="46"/>
      <c r="M1196" s="46"/>
      <c r="N1196" s="46"/>
      <c r="O1196" s="46"/>
      <c r="P1196" s="46"/>
      <c r="Q1196" s="46"/>
      <c r="R1196" s="46"/>
      <c r="S1196" s="46"/>
      <c r="T1196" s="46"/>
      <c r="U1196" s="46"/>
      <c r="V1196" s="46"/>
      <c r="W1196" s="46"/>
      <c r="X1196" s="46"/>
      <c r="Y1196" s="46"/>
      <c r="Z1196" s="46"/>
      <c r="AA1196" s="46"/>
      <c r="AB1196" s="46"/>
      <c r="AC1196" s="46"/>
      <c r="AD1196" s="46"/>
      <c r="AE1196" s="46"/>
      <c r="AF1196" s="46"/>
    </row>
    <row r="1197" spans="1:32" ht="10.199999999999999">
      <c r="A1197" s="46"/>
      <c r="B1197" s="46"/>
      <c r="C1197" s="46"/>
      <c r="D1197" s="46"/>
      <c r="E1197" s="46"/>
      <c r="F1197" s="46"/>
      <c r="G1197" s="46"/>
      <c r="H1197" s="46"/>
      <c r="I1197" s="46"/>
      <c r="J1197" s="46"/>
      <c r="K1197" s="46"/>
      <c r="L1197" s="46"/>
      <c r="M1197" s="46"/>
      <c r="N1197" s="46"/>
      <c r="O1197" s="46"/>
      <c r="P1197" s="46"/>
      <c r="Q1197" s="46"/>
      <c r="R1197" s="46"/>
      <c r="S1197" s="46"/>
      <c r="T1197" s="46"/>
      <c r="U1197" s="46"/>
      <c r="V1197" s="46"/>
      <c r="W1197" s="46"/>
      <c r="X1197" s="46"/>
      <c r="Y1197" s="46"/>
      <c r="Z1197" s="46"/>
      <c r="AA1197" s="46"/>
      <c r="AB1197" s="46"/>
      <c r="AC1197" s="46"/>
      <c r="AD1197" s="46"/>
      <c r="AE1197" s="46"/>
      <c r="AF1197" s="46"/>
    </row>
  </sheetData>
  <mergeCells count="16">
    <mergeCell ref="B2:H2"/>
    <mergeCell ref="J2:K2"/>
    <mergeCell ref="B33:E33"/>
    <mergeCell ref="B34:E34"/>
    <mergeCell ref="B35:E35"/>
    <mergeCell ref="H132:J132"/>
    <mergeCell ref="B37:E37"/>
    <mergeCell ref="C38:D38"/>
    <mergeCell ref="C188:F188"/>
    <mergeCell ref="C201:F201"/>
    <mergeCell ref="C39:D39"/>
    <mergeCell ref="C40:D40"/>
    <mergeCell ref="C41:D41"/>
    <mergeCell ref="C42:D42"/>
    <mergeCell ref="B44:E44"/>
    <mergeCell ref="B50:E50"/>
  </mergeCells>
  <hyperlinks>
    <hyperlink ref="B33" r:id="rId1" xr:uid="{00000000-0004-0000-0200-000000000000}"/>
    <hyperlink ref="B34" r:id="rId2" xr:uid="{00000000-0004-0000-0200-000001000000}"/>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ySplit="3" topLeftCell="A4" activePane="bottomLeft" state="frozen"/>
      <selection pane="bottomLeft" activeCell="A4" sqref="A4"/>
    </sheetView>
  </sheetViews>
  <sheetFormatPr defaultColWidth="16.85546875" defaultRowHeight="15" customHeight="1"/>
  <cols>
    <col min="1" max="1" width="3.42578125" customWidth="1"/>
    <col min="2" max="2" width="17.42578125" customWidth="1"/>
    <col min="3" max="3" width="30.140625" customWidth="1"/>
    <col min="4" max="4" width="23.42578125" customWidth="1"/>
    <col min="5" max="5" width="18" customWidth="1"/>
    <col min="6" max="6" width="18.85546875" customWidth="1"/>
    <col min="7" max="7" width="16.42578125" customWidth="1"/>
    <col min="8" max="8" width="24.140625" customWidth="1"/>
    <col min="9" max="9" width="15.28515625" customWidth="1"/>
    <col min="10" max="10" width="16.42578125" customWidth="1"/>
    <col min="11" max="26" width="8" customWidth="1"/>
  </cols>
  <sheetData>
    <row r="1" spans="1:26" ht="33" customHeight="1">
      <c r="A1" s="17" t="s">
        <v>474</v>
      </c>
      <c r="B1" s="171"/>
      <c r="C1" s="1"/>
      <c r="D1" s="1"/>
      <c r="E1" s="1"/>
      <c r="F1" s="1"/>
      <c r="G1" s="13"/>
      <c r="H1" s="1"/>
      <c r="I1" s="1"/>
      <c r="J1" s="1"/>
      <c r="K1" s="1"/>
      <c r="L1" s="1"/>
      <c r="M1" s="1"/>
      <c r="N1" s="1"/>
      <c r="O1" s="1"/>
      <c r="P1" s="1"/>
      <c r="Q1" s="1"/>
      <c r="R1" s="1"/>
      <c r="S1" s="1"/>
      <c r="T1" s="1"/>
      <c r="U1" s="1"/>
      <c r="V1" s="1"/>
      <c r="W1" s="1"/>
      <c r="X1" s="1"/>
      <c r="Y1" s="1"/>
      <c r="Z1" s="1"/>
    </row>
    <row r="2" spans="1:26" ht="135" customHeight="1"/>
    <row r="3" spans="1:26" ht="25.5" customHeight="1">
      <c r="A3" s="332"/>
      <c r="B3" s="333" t="s">
        <v>236</v>
      </c>
      <c r="C3" s="333" t="s">
        <v>237</v>
      </c>
      <c r="D3" s="333" t="s">
        <v>238</v>
      </c>
      <c r="E3" s="333" t="s">
        <v>239</v>
      </c>
      <c r="F3" s="333" t="s">
        <v>378</v>
      </c>
      <c r="G3" s="333" t="s">
        <v>240</v>
      </c>
      <c r="H3" s="333" t="s">
        <v>379</v>
      </c>
      <c r="I3" s="334" t="s">
        <v>475</v>
      </c>
      <c r="J3" s="335"/>
      <c r="K3" s="332"/>
      <c r="L3" s="332"/>
      <c r="M3" s="332"/>
      <c r="N3" s="332"/>
      <c r="O3" s="332"/>
      <c r="P3" s="332"/>
      <c r="Q3" s="332"/>
      <c r="R3" s="332"/>
      <c r="S3" s="332"/>
      <c r="T3" s="332"/>
      <c r="U3" s="332"/>
      <c r="V3" s="332"/>
      <c r="W3" s="332"/>
      <c r="X3" s="332"/>
      <c r="Y3" s="332"/>
      <c r="Z3" s="332"/>
    </row>
    <row r="4" spans="1:26" ht="12.75" customHeight="1">
      <c r="A4" s="332"/>
      <c r="B4" s="333"/>
      <c r="C4" s="333"/>
      <c r="D4" s="333"/>
      <c r="E4" s="333"/>
      <c r="F4" s="333"/>
      <c r="G4" s="333"/>
      <c r="H4" s="333"/>
      <c r="I4" s="332"/>
      <c r="J4" s="335"/>
      <c r="K4" s="332"/>
      <c r="L4" s="332"/>
      <c r="M4" s="332"/>
      <c r="N4" s="332"/>
      <c r="O4" s="332"/>
      <c r="P4" s="332"/>
      <c r="Q4" s="332"/>
      <c r="R4" s="332"/>
      <c r="S4" s="332"/>
      <c r="T4" s="332"/>
      <c r="U4" s="332"/>
      <c r="V4" s="332"/>
      <c r="W4" s="332"/>
      <c r="X4" s="332"/>
      <c r="Y4" s="332"/>
      <c r="Z4" s="332"/>
    </row>
    <row r="5" spans="1:26" ht="21" customHeight="1">
      <c r="A5" s="332"/>
      <c r="B5" s="172" t="s">
        <v>476</v>
      </c>
      <c r="C5" s="336"/>
      <c r="D5" s="332"/>
      <c r="E5" s="337"/>
      <c r="F5" s="332"/>
      <c r="G5" s="337"/>
      <c r="H5" s="332"/>
      <c r="I5" s="332"/>
      <c r="J5" s="332"/>
      <c r="K5" s="332"/>
      <c r="L5" s="332"/>
      <c r="M5" s="332"/>
      <c r="N5" s="332"/>
      <c r="O5" s="332"/>
      <c r="P5" s="332"/>
      <c r="Q5" s="332"/>
      <c r="R5" s="332"/>
      <c r="S5" s="332"/>
      <c r="T5" s="332"/>
      <c r="U5" s="332"/>
      <c r="V5" s="332"/>
      <c r="W5" s="332"/>
      <c r="X5" s="332"/>
      <c r="Y5" s="332"/>
      <c r="Z5" s="332"/>
    </row>
    <row r="6" spans="1:26" ht="12.75" customHeight="1">
      <c r="A6" s="332"/>
      <c r="B6" s="1669" t="s">
        <v>261</v>
      </c>
      <c r="C6" s="1670"/>
      <c r="D6" s="332"/>
      <c r="E6" s="337"/>
      <c r="F6" s="332"/>
      <c r="G6" s="337"/>
      <c r="H6" s="332"/>
      <c r="I6" s="332"/>
      <c r="J6" s="332"/>
      <c r="K6" s="332"/>
      <c r="L6" s="332"/>
      <c r="M6" s="332"/>
      <c r="N6" s="332"/>
      <c r="O6" s="332"/>
      <c r="P6" s="332"/>
      <c r="Q6" s="332"/>
      <c r="R6" s="332"/>
      <c r="S6" s="332"/>
      <c r="T6" s="332"/>
      <c r="U6" s="332"/>
      <c r="V6" s="332"/>
      <c r="W6" s="332"/>
      <c r="X6" s="332"/>
      <c r="Y6" s="332"/>
      <c r="Z6" s="332"/>
    </row>
    <row r="7" spans="1:26" ht="12.75" customHeight="1">
      <c r="A7" s="332"/>
      <c r="B7" s="332" t="s">
        <v>477</v>
      </c>
      <c r="C7" s="338" t="s">
        <v>478</v>
      </c>
      <c r="D7" s="332" t="s">
        <v>308</v>
      </c>
      <c r="E7" s="337">
        <v>25000</v>
      </c>
      <c r="F7" s="332" t="s">
        <v>382</v>
      </c>
      <c r="G7" s="337">
        <v>139</v>
      </c>
      <c r="H7" s="332" t="s">
        <v>309</v>
      </c>
      <c r="I7" s="337">
        <f t="shared" ref="I7:I9" si="0">(E7*G7)/1000</f>
        <v>3475</v>
      </c>
      <c r="J7" s="337"/>
      <c r="K7" s="332"/>
      <c r="L7" s="332"/>
      <c r="M7" s="332"/>
      <c r="N7" s="332"/>
      <c r="O7" s="332"/>
      <c r="P7" s="332"/>
      <c r="Q7" s="332"/>
      <c r="R7" s="332"/>
      <c r="S7" s="332"/>
      <c r="T7" s="332"/>
      <c r="U7" s="332"/>
      <c r="V7" s="332"/>
      <c r="W7" s="332"/>
      <c r="X7" s="332"/>
      <c r="Y7" s="332"/>
      <c r="Z7" s="332"/>
    </row>
    <row r="8" spans="1:26" ht="12.75" customHeight="1">
      <c r="A8" s="332"/>
      <c r="B8" s="332" t="s">
        <v>479</v>
      </c>
      <c r="C8" s="338" t="s">
        <v>480</v>
      </c>
      <c r="D8" s="332" t="s">
        <v>308</v>
      </c>
      <c r="E8" s="337">
        <v>197000</v>
      </c>
      <c r="F8" s="332" t="s">
        <v>382</v>
      </c>
      <c r="G8" s="337">
        <v>139</v>
      </c>
      <c r="H8" s="332" t="s">
        <v>309</v>
      </c>
      <c r="I8" s="337">
        <f t="shared" si="0"/>
        <v>27383</v>
      </c>
      <c r="J8" s="337"/>
      <c r="K8" s="332"/>
      <c r="L8" s="332"/>
      <c r="M8" s="332"/>
      <c r="N8" s="332"/>
      <c r="O8" s="332"/>
      <c r="P8" s="332"/>
      <c r="Q8" s="332"/>
      <c r="R8" s="332"/>
      <c r="S8" s="332"/>
      <c r="T8" s="332"/>
      <c r="U8" s="332"/>
      <c r="V8" s="332"/>
      <c r="W8" s="332"/>
      <c r="X8" s="332"/>
      <c r="Y8" s="332"/>
      <c r="Z8" s="332"/>
    </row>
    <row r="9" spans="1:26" ht="12.75" customHeight="1">
      <c r="A9" s="332"/>
      <c r="B9" s="332" t="s">
        <v>481</v>
      </c>
      <c r="C9" s="338" t="s">
        <v>482</v>
      </c>
      <c r="D9" s="332" t="s">
        <v>308</v>
      </c>
      <c r="E9" s="337">
        <v>129000</v>
      </c>
      <c r="F9" s="332" t="s">
        <v>382</v>
      </c>
      <c r="G9" s="337">
        <v>139</v>
      </c>
      <c r="H9" s="332" t="s">
        <v>309</v>
      </c>
      <c r="I9" s="337">
        <f t="shared" si="0"/>
        <v>17931</v>
      </c>
      <c r="J9" s="337"/>
      <c r="K9" s="332"/>
      <c r="L9" s="332"/>
      <c r="M9" s="332"/>
      <c r="N9" s="332"/>
      <c r="O9" s="332"/>
      <c r="P9" s="332"/>
      <c r="Q9" s="332"/>
      <c r="R9" s="332"/>
      <c r="S9" s="332"/>
      <c r="T9" s="332"/>
      <c r="U9" s="332"/>
      <c r="V9" s="332"/>
      <c r="W9" s="332"/>
      <c r="X9" s="332"/>
      <c r="Y9" s="332"/>
      <c r="Z9" s="332"/>
    </row>
    <row r="10" spans="1:26" ht="12.75" customHeight="1">
      <c r="A10" s="332"/>
      <c r="B10" s="332"/>
      <c r="C10" s="332"/>
      <c r="D10" s="332"/>
      <c r="E10" s="337"/>
      <c r="F10" s="332"/>
      <c r="G10" s="337"/>
      <c r="H10" s="333" t="s">
        <v>483</v>
      </c>
      <c r="I10" s="339">
        <f>SUM(I7:I9)</f>
        <v>48789</v>
      </c>
      <c r="J10" s="337"/>
      <c r="K10" s="332"/>
      <c r="L10" s="332"/>
      <c r="M10" s="332"/>
      <c r="N10" s="332"/>
      <c r="O10" s="332"/>
      <c r="P10" s="332"/>
      <c r="Q10" s="332"/>
      <c r="R10" s="332"/>
      <c r="S10" s="332"/>
      <c r="T10" s="332"/>
      <c r="U10" s="332"/>
      <c r="V10" s="332"/>
      <c r="W10" s="332"/>
      <c r="X10" s="332"/>
      <c r="Y10" s="332"/>
      <c r="Z10" s="332"/>
    </row>
    <row r="11" spans="1:26" ht="12.75" customHeight="1">
      <c r="A11" s="332"/>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row>
    <row r="12" spans="1:26" ht="12.75" customHeight="1">
      <c r="A12" s="332"/>
      <c r="B12" s="1669" t="s">
        <v>484</v>
      </c>
      <c r="C12" s="1670"/>
      <c r="D12" s="332"/>
      <c r="E12" s="337"/>
      <c r="F12" s="332"/>
      <c r="G12" s="337"/>
      <c r="H12" s="332"/>
      <c r="I12" s="332"/>
      <c r="J12" s="332"/>
      <c r="K12" s="332"/>
      <c r="L12" s="332"/>
      <c r="M12" s="332"/>
      <c r="N12" s="332"/>
      <c r="O12" s="332"/>
      <c r="P12" s="332"/>
      <c r="Q12" s="332"/>
      <c r="R12" s="332"/>
      <c r="S12" s="332"/>
      <c r="T12" s="332"/>
      <c r="U12" s="332"/>
      <c r="V12" s="332"/>
      <c r="W12" s="332"/>
      <c r="X12" s="332"/>
      <c r="Y12" s="332"/>
      <c r="Z12" s="332"/>
    </row>
    <row r="13" spans="1:26" ht="12.75" customHeight="1">
      <c r="A13" s="332"/>
      <c r="B13" s="332" t="s">
        <v>485</v>
      </c>
      <c r="C13" s="332" t="s">
        <v>335</v>
      </c>
      <c r="D13" s="332" t="s">
        <v>486</v>
      </c>
      <c r="E13" s="337">
        <v>365000</v>
      </c>
      <c r="F13" s="332" t="s">
        <v>382</v>
      </c>
      <c r="G13" s="337">
        <v>139</v>
      </c>
      <c r="H13" s="332" t="s">
        <v>487</v>
      </c>
      <c r="I13" s="337">
        <f t="shared" ref="I13:I16" si="1">(E13*G13)/1000</f>
        <v>50735</v>
      </c>
      <c r="J13" s="337"/>
      <c r="K13" s="332"/>
      <c r="L13" s="332"/>
      <c r="M13" s="332"/>
      <c r="N13" s="332"/>
      <c r="O13" s="332"/>
      <c r="P13" s="332"/>
      <c r="Q13" s="332"/>
      <c r="R13" s="332"/>
      <c r="S13" s="332"/>
      <c r="T13" s="332"/>
      <c r="U13" s="332"/>
      <c r="V13" s="332"/>
      <c r="W13" s="332"/>
      <c r="X13" s="332"/>
      <c r="Y13" s="332"/>
      <c r="Z13" s="332"/>
    </row>
    <row r="14" spans="1:26" ht="12.75" customHeight="1">
      <c r="A14" s="332"/>
      <c r="B14" s="332" t="s">
        <v>488</v>
      </c>
      <c r="C14" s="332" t="s">
        <v>337</v>
      </c>
      <c r="D14" s="332" t="s">
        <v>486</v>
      </c>
      <c r="E14" s="337">
        <v>351000</v>
      </c>
      <c r="F14" s="332" t="s">
        <v>382</v>
      </c>
      <c r="G14" s="337">
        <v>139</v>
      </c>
      <c r="H14" s="332" t="s">
        <v>487</v>
      </c>
      <c r="I14" s="337">
        <f t="shared" si="1"/>
        <v>48789</v>
      </c>
      <c r="J14" s="337"/>
      <c r="K14" s="332"/>
      <c r="L14" s="332"/>
      <c r="M14" s="332"/>
      <c r="N14" s="332"/>
      <c r="O14" s="332"/>
      <c r="P14" s="332"/>
      <c r="Q14" s="332"/>
      <c r="R14" s="332"/>
      <c r="S14" s="332"/>
      <c r="T14" s="332"/>
      <c r="U14" s="332"/>
      <c r="V14" s="332"/>
      <c r="W14" s="332"/>
      <c r="X14" s="332"/>
      <c r="Y14" s="332"/>
      <c r="Z14" s="332"/>
    </row>
    <row r="15" spans="1:26" ht="12.75" customHeight="1">
      <c r="A15" s="332"/>
      <c r="B15" s="332" t="s">
        <v>489</v>
      </c>
      <c r="C15" s="332" t="s">
        <v>339</v>
      </c>
      <c r="D15" s="332" t="s">
        <v>486</v>
      </c>
      <c r="E15" s="337">
        <v>273000</v>
      </c>
      <c r="F15" s="332" t="s">
        <v>382</v>
      </c>
      <c r="G15" s="337">
        <v>139</v>
      </c>
      <c r="H15" s="332" t="s">
        <v>487</v>
      </c>
      <c r="I15" s="337">
        <f t="shared" si="1"/>
        <v>37947</v>
      </c>
      <c r="J15" s="337"/>
      <c r="K15" s="332"/>
      <c r="L15" s="332"/>
      <c r="M15" s="332"/>
      <c r="N15" s="332"/>
      <c r="O15" s="332"/>
      <c r="P15" s="332"/>
      <c r="Q15" s="332"/>
      <c r="R15" s="332"/>
      <c r="S15" s="332"/>
      <c r="T15" s="332"/>
      <c r="U15" s="332"/>
      <c r="V15" s="332"/>
      <c r="W15" s="332"/>
      <c r="X15" s="332"/>
      <c r="Y15" s="332"/>
      <c r="Z15" s="332"/>
    </row>
    <row r="16" spans="1:26" ht="12.75" customHeight="1">
      <c r="A16" s="332"/>
      <c r="B16" s="332" t="s">
        <v>490</v>
      </c>
      <c r="C16" s="332" t="s">
        <v>341</v>
      </c>
      <c r="D16" s="332" t="s">
        <v>486</v>
      </c>
      <c r="E16" s="337">
        <v>251000</v>
      </c>
      <c r="F16" s="332" t="s">
        <v>382</v>
      </c>
      <c r="G16" s="337">
        <v>139</v>
      </c>
      <c r="H16" s="332" t="s">
        <v>487</v>
      </c>
      <c r="I16" s="337">
        <f t="shared" si="1"/>
        <v>34889</v>
      </c>
      <c r="J16" s="337"/>
      <c r="K16" s="332"/>
      <c r="L16" s="332"/>
      <c r="M16" s="332"/>
      <c r="N16" s="332"/>
      <c r="O16" s="332"/>
      <c r="P16" s="332"/>
      <c r="Q16" s="332"/>
      <c r="R16" s="332"/>
      <c r="S16" s="332"/>
      <c r="T16" s="332"/>
      <c r="U16" s="332"/>
      <c r="V16" s="332"/>
      <c r="W16" s="332"/>
      <c r="X16" s="332"/>
      <c r="Y16" s="332"/>
      <c r="Z16" s="332"/>
    </row>
    <row r="17" spans="1:26" ht="12.75" customHeight="1">
      <c r="A17" s="332"/>
      <c r="B17" s="332"/>
      <c r="C17" s="332"/>
      <c r="D17" s="332"/>
      <c r="E17" s="337"/>
      <c r="F17" s="332"/>
      <c r="G17" s="337"/>
      <c r="H17" s="333" t="s">
        <v>483</v>
      </c>
      <c r="I17" s="339">
        <f>SUM(I13:I16)</f>
        <v>172360</v>
      </c>
      <c r="J17" s="337"/>
      <c r="K17" s="332"/>
      <c r="L17" s="332"/>
      <c r="M17" s="332"/>
      <c r="N17" s="332"/>
      <c r="O17" s="332"/>
      <c r="P17" s="332"/>
      <c r="Q17" s="332"/>
      <c r="R17" s="332"/>
      <c r="S17" s="332"/>
      <c r="T17" s="332"/>
      <c r="U17" s="332"/>
      <c r="V17" s="332"/>
      <c r="W17" s="332"/>
      <c r="X17" s="332"/>
      <c r="Y17" s="332"/>
      <c r="Z17" s="332"/>
    </row>
    <row r="18" spans="1:26" ht="12.75" customHeight="1">
      <c r="A18" s="332"/>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row>
    <row r="19" spans="1:26" ht="12.75" customHeight="1">
      <c r="A19" s="332"/>
      <c r="B19" s="1669" t="s">
        <v>491</v>
      </c>
      <c r="C19" s="1670"/>
      <c r="D19" s="333"/>
      <c r="E19" s="340"/>
      <c r="F19" s="332"/>
      <c r="G19" s="337"/>
      <c r="H19" s="332"/>
      <c r="I19" s="337"/>
      <c r="J19" s="337"/>
      <c r="K19" s="332"/>
      <c r="L19" s="332"/>
      <c r="M19" s="332"/>
      <c r="N19" s="332"/>
      <c r="O19" s="332"/>
      <c r="P19" s="332"/>
      <c r="Q19" s="332"/>
      <c r="R19" s="332"/>
      <c r="S19" s="332"/>
      <c r="T19" s="332"/>
      <c r="U19" s="332"/>
      <c r="V19" s="332"/>
      <c r="W19" s="332"/>
      <c r="X19" s="332"/>
      <c r="Y19" s="332"/>
      <c r="Z19" s="332"/>
    </row>
    <row r="20" spans="1:26" ht="12.75" customHeight="1">
      <c r="A20" s="332"/>
      <c r="B20" s="332" t="s">
        <v>492</v>
      </c>
      <c r="C20" s="332" t="s">
        <v>493</v>
      </c>
      <c r="D20" s="332" t="s">
        <v>486</v>
      </c>
      <c r="E20" s="337">
        <v>134214</v>
      </c>
      <c r="F20" s="332" t="s">
        <v>382</v>
      </c>
      <c r="G20" s="337">
        <v>140983</v>
      </c>
      <c r="H20" s="332" t="s">
        <v>305</v>
      </c>
      <c r="I20" s="337">
        <f t="shared" ref="I20:I23" si="2">E20*G20/1000000</f>
        <v>18921.892361999999</v>
      </c>
      <c r="J20" s="337"/>
      <c r="K20" s="332"/>
      <c r="L20" s="332"/>
      <c r="M20" s="332"/>
      <c r="N20" s="332"/>
      <c r="O20" s="332"/>
      <c r="P20" s="332"/>
      <c r="Q20" s="332"/>
      <c r="R20" s="332"/>
      <c r="S20" s="332"/>
      <c r="T20" s="332"/>
      <c r="U20" s="332"/>
      <c r="V20" s="332"/>
      <c r="W20" s="332"/>
      <c r="X20" s="332"/>
      <c r="Y20" s="332"/>
      <c r="Z20" s="332"/>
    </row>
    <row r="21" spans="1:26" ht="12.75" customHeight="1">
      <c r="A21" s="332"/>
      <c r="B21" s="332" t="s">
        <v>494</v>
      </c>
      <c r="C21" s="332" t="s">
        <v>495</v>
      </c>
      <c r="D21" s="332" t="s">
        <v>486</v>
      </c>
      <c r="E21" s="337">
        <v>141428</v>
      </c>
      <c r="F21" s="332" t="s">
        <v>382</v>
      </c>
      <c r="G21" s="337">
        <v>140983</v>
      </c>
      <c r="H21" s="332" t="s">
        <v>305</v>
      </c>
      <c r="I21" s="337">
        <f t="shared" si="2"/>
        <v>19938.943724000001</v>
      </c>
      <c r="J21" s="337"/>
      <c r="K21" s="332"/>
      <c r="L21" s="332"/>
      <c r="M21" s="332"/>
      <c r="N21" s="332"/>
      <c r="O21" s="332"/>
      <c r="P21" s="332"/>
      <c r="Q21" s="332"/>
      <c r="R21" s="332"/>
      <c r="S21" s="332"/>
      <c r="T21" s="332"/>
      <c r="U21" s="332"/>
      <c r="V21" s="332"/>
      <c r="W21" s="332"/>
      <c r="X21" s="332"/>
      <c r="Y21" s="332"/>
      <c r="Z21" s="332"/>
    </row>
    <row r="22" spans="1:26" ht="12.75" customHeight="1">
      <c r="A22" s="332"/>
      <c r="B22" s="332" t="s">
        <v>496</v>
      </c>
      <c r="C22" s="332" t="s">
        <v>497</v>
      </c>
      <c r="D22" s="332" t="s">
        <v>486</v>
      </c>
      <c r="E22" s="337">
        <v>148690</v>
      </c>
      <c r="F22" s="332" t="s">
        <v>382</v>
      </c>
      <c r="G22" s="337">
        <v>140983</v>
      </c>
      <c r="H22" s="332" t="s">
        <v>305</v>
      </c>
      <c r="I22" s="337">
        <f t="shared" si="2"/>
        <v>20962.762269999999</v>
      </c>
      <c r="J22" s="337"/>
      <c r="K22" s="332"/>
      <c r="L22" s="332"/>
      <c r="M22" s="332"/>
      <c r="N22" s="332"/>
      <c r="O22" s="332"/>
      <c r="P22" s="332"/>
      <c r="Q22" s="332"/>
      <c r="R22" s="332"/>
      <c r="S22" s="332"/>
      <c r="T22" s="332"/>
      <c r="U22" s="332"/>
      <c r="V22" s="332"/>
      <c r="W22" s="332"/>
      <c r="X22" s="332"/>
      <c r="Y22" s="332"/>
      <c r="Z22" s="332"/>
    </row>
    <row r="23" spans="1:26" ht="12.75" customHeight="1">
      <c r="A23" s="332"/>
      <c r="B23" s="332" t="s">
        <v>498</v>
      </c>
      <c r="C23" s="332" t="s">
        <v>499</v>
      </c>
      <c r="D23" s="332" t="s">
        <v>486</v>
      </c>
      <c r="E23" s="337">
        <v>104704</v>
      </c>
      <c r="F23" s="332" t="s">
        <v>382</v>
      </c>
      <c r="G23" s="337">
        <v>140983</v>
      </c>
      <c r="H23" s="332" t="s">
        <v>305</v>
      </c>
      <c r="I23" s="337">
        <f t="shared" si="2"/>
        <v>14761.484032</v>
      </c>
      <c r="J23" s="337"/>
      <c r="K23" s="332"/>
      <c r="L23" s="332"/>
      <c r="M23" s="332"/>
      <c r="N23" s="332"/>
      <c r="O23" s="332"/>
      <c r="P23" s="332"/>
      <c r="Q23" s="332"/>
      <c r="R23" s="332"/>
      <c r="S23" s="332"/>
      <c r="T23" s="332"/>
      <c r="U23" s="332"/>
      <c r="V23" s="332"/>
      <c r="W23" s="332"/>
      <c r="X23" s="332"/>
      <c r="Y23" s="332"/>
      <c r="Z23" s="332"/>
    </row>
    <row r="24" spans="1:26" ht="12.75" customHeight="1">
      <c r="A24" s="332"/>
      <c r="B24" s="332"/>
      <c r="C24" s="332"/>
      <c r="D24" s="332"/>
      <c r="E24" s="332"/>
      <c r="F24" s="332"/>
      <c r="G24" s="332"/>
      <c r="H24" s="333" t="s">
        <v>483</v>
      </c>
      <c r="I24" s="339">
        <f>SUM(I20:I23)</f>
        <v>74585.082387999995</v>
      </c>
      <c r="J24" s="332"/>
      <c r="K24" s="332"/>
      <c r="L24" s="332"/>
      <c r="M24" s="332"/>
      <c r="N24" s="332"/>
      <c r="O24" s="332"/>
      <c r="P24" s="332"/>
      <c r="Q24" s="332"/>
      <c r="R24" s="332"/>
      <c r="S24" s="332"/>
      <c r="T24" s="332"/>
      <c r="U24" s="332"/>
      <c r="V24" s="332"/>
      <c r="W24" s="332"/>
      <c r="X24" s="332"/>
      <c r="Y24" s="332"/>
      <c r="Z24" s="332"/>
    </row>
    <row r="25" spans="1:26" ht="12.75" customHeight="1">
      <c r="A25" s="332"/>
      <c r="B25" s="332"/>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row>
    <row r="26" spans="1:26" ht="12.75" customHeight="1">
      <c r="A26" s="332"/>
      <c r="B26" s="1669" t="s">
        <v>500</v>
      </c>
      <c r="C26" s="1670"/>
      <c r="D26" s="332"/>
      <c r="E26" s="340"/>
      <c r="F26" s="332"/>
      <c r="G26" s="337"/>
      <c r="H26" s="332"/>
      <c r="I26" s="341"/>
      <c r="J26" s="341"/>
      <c r="K26" s="332"/>
      <c r="L26" s="332"/>
      <c r="M26" s="332"/>
      <c r="N26" s="332"/>
      <c r="O26" s="332"/>
      <c r="P26" s="332"/>
      <c r="Q26" s="332"/>
      <c r="R26" s="332"/>
      <c r="S26" s="332"/>
      <c r="T26" s="332"/>
      <c r="U26" s="332"/>
      <c r="V26" s="332"/>
      <c r="W26" s="332"/>
      <c r="X26" s="332"/>
      <c r="Y26" s="332"/>
      <c r="Z26" s="332"/>
    </row>
    <row r="27" spans="1:26" ht="12.75" customHeight="1">
      <c r="A27" s="332"/>
      <c r="B27" s="332" t="s">
        <v>501</v>
      </c>
      <c r="C27" s="332"/>
      <c r="D27" s="332" t="s">
        <v>483</v>
      </c>
      <c r="E27" s="340">
        <v>31429</v>
      </c>
      <c r="F27" s="332" t="s">
        <v>382</v>
      </c>
      <c r="G27" s="337">
        <v>139</v>
      </c>
      <c r="H27" s="332" t="s">
        <v>502</v>
      </c>
      <c r="I27" s="341">
        <f t="shared" ref="I27:I36" si="3">(E27*G27)/1000</f>
        <v>4368.6310000000003</v>
      </c>
      <c r="J27" s="341"/>
      <c r="K27" s="332"/>
      <c r="L27" s="332"/>
      <c r="M27" s="332"/>
      <c r="N27" s="332"/>
      <c r="O27" s="332"/>
      <c r="P27" s="332"/>
      <c r="Q27" s="332"/>
      <c r="R27" s="332"/>
      <c r="S27" s="332"/>
      <c r="T27" s="332"/>
      <c r="U27" s="332"/>
      <c r="V27" s="332"/>
      <c r="W27" s="332"/>
      <c r="X27" s="332"/>
      <c r="Y27" s="332"/>
      <c r="Z27" s="332"/>
    </row>
    <row r="28" spans="1:26" ht="12.75" customHeight="1">
      <c r="A28" s="332"/>
      <c r="B28" s="332" t="s">
        <v>503</v>
      </c>
      <c r="C28" s="332"/>
      <c r="D28" s="332" t="s">
        <v>483</v>
      </c>
      <c r="E28" s="337">
        <v>29676</v>
      </c>
      <c r="F28" s="332" t="s">
        <v>382</v>
      </c>
      <c r="G28" s="337">
        <v>140</v>
      </c>
      <c r="H28" s="332" t="s">
        <v>502</v>
      </c>
      <c r="I28" s="341">
        <f t="shared" si="3"/>
        <v>4154.6400000000003</v>
      </c>
      <c r="J28" s="341"/>
      <c r="K28" s="332"/>
      <c r="L28" s="332"/>
      <c r="M28" s="332"/>
      <c r="N28" s="332"/>
      <c r="O28" s="332"/>
      <c r="P28" s="332"/>
      <c r="Q28" s="332"/>
      <c r="R28" s="332"/>
      <c r="S28" s="332"/>
      <c r="T28" s="332"/>
      <c r="U28" s="332"/>
      <c r="V28" s="332"/>
      <c r="W28" s="332"/>
      <c r="X28" s="332"/>
      <c r="Y28" s="332"/>
      <c r="Z28" s="332"/>
    </row>
    <row r="29" spans="1:26" ht="12.75" customHeight="1">
      <c r="A29" s="332"/>
      <c r="B29" s="332" t="s">
        <v>504</v>
      </c>
      <c r="C29" s="332"/>
      <c r="D29" s="332" t="s">
        <v>483</v>
      </c>
      <c r="E29" s="337">
        <v>43067</v>
      </c>
      <c r="F29" s="332" t="s">
        <v>382</v>
      </c>
      <c r="G29" s="337">
        <v>141</v>
      </c>
      <c r="H29" s="332" t="s">
        <v>502</v>
      </c>
      <c r="I29" s="341">
        <f t="shared" si="3"/>
        <v>6072.4470000000001</v>
      </c>
      <c r="J29" s="341"/>
      <c r="K29" s="332"/>
      <c r="L29" s="332"/>
      <c r="M29" s="332"/>
      <c r="N29" s="332"/>
      <c r="O29" s="332"/>
      <c r="P29" s="332"/>
      <c r="Q29" s="332"/>
      <c r="R29" s="332"/>
      <c r="S29" s="332"/>
      <c r="T29" s="332"/>
      <c r="U29" s="332"/>
      <c r="V29" s="332"/>
      <c r="W29" s="332"/>
      <c r="X29" s="332"/>
      <c r="Y29" s="332"/>
      <c r="Z29" s="332"/>
    </row>
    <row r="30" spans="1:26" ht="12.75" customHeight="1">
      <c r="A30" s="332"/>
      <c r="B30" s="332" t="s">
        <v>505</v>
      </c>
      <c r="C30" s="332"/>
      <c r="D30" s="332" t="s">
        <v>483</v>
      </c>
      <c r="E30" s="337">
        <v>45535</v>
      </c>
      <c r="F30" s="332" t="s">
        <v>382</v>
      </c>
      <c r="G30" s="337">
        <v>142</v>
      </c>
      <c r="H30" s="332" t="s">
        <v>502</v>
      </c>
      <c r="I30" s="341">
        <f t="shared" si="3"/>
        <v>6465.97</v>
      </c>
      <c r="J30" s="341"/>
      <c r="K30" s="332"/>
      <c r="L30" s="332"/>
      <c r="M30" s="332"/>
      <c r="N30" s="332"/>
      <c r="O30" s="332"/>
      <c r="P30" s="332"/>
      <c r="Q30" s="332"/>
      <c r="R30" s="332"/>
      <c r="S30" s="332"/>
      <c r="T30" s="332"/>
      <c r="U30" s="332"/>
      <c r="V30" s="332"/>
      <c r="W30" s="332"/>
      <c r="X30" s="332"/>
      <c r="Y30" s="332"/>
      <c r="Z30" s="332"/>
    </row>
    <row r="31" spans="1:26" ht="12.75" customHeight="1">
      <c r="A31" s="332"/>
      <c r="B31" s="332" t="s">
        <v>506</v>
      </c>
      <c r="C31" s="332"/>
      <c r="D31" s="332" t="s">
        <v>483</v>
      </c>
      <c r="E31" s="337">
        <v>41436</v>
      </c>
      <c r="F31" s="332" t="s">
        <v>382</v>
      </c>
      <c r="G31" s="337">
        <v>143</v>
      </c>
      <c r="H31" s="332" t="s">
        <v>502</v>
      </c>
      <c r="I31" s="341">
        <f t="shared" si="3"/>
        <v>5925.348</v>
      </c>
      <c r="J31" s="341"/>
      <c r="K31" s="332"/>
      <c r="L31" s="332"/>
      <c r="M31" s="332"/>
      <c r="N31" s="332"/>
      <c r="O31" s="332"/>
      <c r="P31" s="332"/>
      <c r="Q31" s="332"/>
      <c r="R31" s="332"/>
      <c r="S31" s="332"/>
      <c r="T31" s="332"/>
      <c r="U31" s="332"/>
      <c r="V31" s="332"/>
      <c r="W31" s="332"/>
      <c r="X31" s="332"/>
      <c r="Y31" s="332"/>
      <c r="Z31" s="332"/>
    </row>
    <row r="32" spans="1:26" ht="12.75" customHeight="1">
      <c r="A32" s="332"/>
      <c r="B32" s="332" t="s">
        <v>507</v>
      </c>
      <c r="C32" s="332"/>
      <c r="D32" s="332" t="s">
        <v>483</v>
      </c>
      <c r="E32" s="337">
        <v>55907</v>
      </c>
      <c r="F32" s="332" t="s">
        <v>382</v>
      </c>
      <c r="G32" s="337">
        <v>144</v>
      </c>
      <c r="H32" s="332" t="s">
        <v>502</v>
      </c>
      <c r="I32" s="341">
        <f t="shared" si="3"/>
        <v>8050.6080000000002</v>
      </c>
      <c r="J32" s="341"/>
      <c r="K32" s="332"/>
      <c r="L32" s="332"/>
      <c r="M32" s="332"/>
      <c r="N32" s="332"/>
      <c r="O32" s="332"/>
      <c r="P32" s="332"/>
      <c r="Q32" s="332"/>
      <c r="R32" s="332"/>
      <c r="S32" s="332"/>
      <c r="T32" s="332"/>
      <c r="U32" s="332"/>
      <c r="V32" s="332"/>
      <c r="W32" s="332"/>
      <c r="X32" s="332"/>
      <c r="Y32" s="332"/>
      <c r="Z32" s="332"/>
    </row>
    <row r="33" spans="1:26" ht="12.75" customHeight="1">
      <c r="A33" s="332"/>
      <c r="B33" s="332" t="s">
        <v>508</v>
      </c>
      <c r="C33" s="332"/>
      <c r="D33" s="332" t="s">
        <v>483</v>
      </c>
      <c r="E33" s="337">
        <v>70929</v>
      </c>
      <c r="F33" s="332" t="s">
        <v>382</v>
      </c>
      <c r="G33" s="337">
        <v>145</v>
      </c>
      <c r="H33" s="332" t="s">
        <v>502</v>
      </c>
      <c r="I33" s="341">
        <f t="shared" si="3"/>
        <v>10284.705</v>
      </c>
      <c r="J33" s="341"/>
      <c r="K33" s="332"/>
      <c r="L33" s="332"/>
      <c r="M33" s="332"/>
      <c r="N33" s="332"/>
      <c r="O33" s="332"/>
      <c r="P33" s="332"/>
      <c r="Q33" s="332"/>
      <c r="R33" s="332"/>
      <c r="S33" s="332"/>
      <c r="T33" s="332"/>
      <c r="U33" s="332"/>
      <c r="V33" s="332"/>
      <c r="W33" s="332"/>
      <c r="X33" s="332"/>
      <c r="Y33" s="332"/>
      <c r="Z33" s="332"/>
    </row>
    <row r="34" spans="1:26" ht="12.75" customHeight="1">
      <c r="A34" s="332"/>
      <c r="B34" s="332" t="s">
        <v>509</v>
      </c>
      <c r="C34" s="332"/>
      <c r="D34" s="332" t="s">
        <v>483</v>
      </c>
      <c r="E34" s="337">
        <v>73718</v>
      </c>
      <c r="F34" s="332" t="s">
        <v>382</v>
      </c>
      <c r="G34" s="337">
        <v>146</v>
      </c>
      <c r="H34" s="332" t="s">
        <v>502</v>
      </c>
      <c r="I34" s="341">
        <f t="shared" si="3"/>
        <v>10762.828</v>
      </c>
      <c r="J34" s="341"/>
      <c r="K34" s="332"/>
      <c r="L34" s="332"/>
      <c r="M34" s="332"/>
      <c r="N34" s="332"/>
      <c r="O34" s="332"/>
      <c r="P34" s="332"/>
      <c r="Q34" s="332"/>
      <c r="R34" s="332"/>
      <c r="S34" s="332"/>
      <c r="T34" s="332"/>
      <c r="U34" s="332"/>
      <c r="V34" s="332"/>
      <c r="W34" s="332"/>
      <c r="X34" s="332"/>
      <c r="Y34" s="332"/>
      <c r="Z34" s="332"/>
    </row>
    <row r="35" spans="1:26" ht="12.75" customHeight="1">
      <c r="A35" s="332"/>
      <c r="B35" s="332" t="s">
        <v>510</v>
      </c>
      <c r="C35" s="332"/>
      <c r="D35" s="332" t="s">
        <v>483</v>
      </c>
      <c r="E35" s="337">
        <v>3491</v>
      </c>
      <c r="F35" s="332" t="s">
        <v>382</v>
      </c>
      <c r="G35" s="337">
        <v>147</v>
      </c>
      <c r="H35" s="332" t="s">
        <v>502</v>
      </c>
      <c r="I35" s="341">
        <f t="shared" si="3"/>
        <v>513.17700000000002</v>
      </c>
      <c r="J35" s="341"/>
      <c r="K35" s="332"/>
      <c r="L35" s="332"/>
      <c r="M35" s="332"/>
      <c r="N35" s="332"/>
      <c r="O35" s="332"/>
      <c r="P35" s="332"/>
      <c r="Q35" s="332"/>
      <c r="R35" s="332"/>
      <c r="S35" s="332"/>
      <c r="T35" s="332"/>
      <c r="U35" s="332"/>
      <c r="V35" s="332"/>
      <c r="W35" s="332"/>
      <c r="X35" s="332"/>
      <c r="Y35" s="332"/>
      <c r="Z35" s="332"/>
    </row>
    <row r="36" spans="1:26" ht="12.75" customHeight="1">
      <c r="A36" s="332"/>
      <c r="B36" s="332" t="s">
        <v>511</v>
      </c>
      <c r="C36" s="332"/>
      <c r="D36" s="332" t="s">
        <v>483</v>
      </c>
      <c r="E36" s="337">
        <v>3717</v>
      </c>
      <c r="F36" s="332" t="s">
        <v>382</v>
      </c>
      <c r="G36" s="337">
        <v>148</v>
      </c>
      <c r="H36" s="332" t="s">
        <v>502</v>
      </c>
      <c r="I36" s="341">
        <f t="shared" si="3"/>
        <v>550.11599999999999</v>
      </c>
      <c r="J36" s="341"/>
      <c r="K36" s="332"/>
      <c r="L36" s="332"/>
      <c r="M36" s="332"/>
      <c r="N36" s="332"/>
      <c r="O36" s="332"/>
      <c r="P36" s="332"/>
      <c r="Q36" s="332"/>
      <c r="R36" s="332"/>
      <c r="S36" s="332"/>
      <c r="T36" s="332"/>
      <c r="U36" s="332"/>
      <c r="V36" s="332"/>
      <c r="W36" s="332"/>
      <c r="X36" s="332"/>
      <c r="Y36" s="332"/>
      <c r="Z36" s="332"/>
    </row>
    <row r="37" spans="1:26" ht="12.75" customHeight="1">
      <c r="A37" s="332"/>
      <c r="B37" s="332"/>
      <c r="C37" s="332"/>
      <c r="D37" s="332"/>
      <c r="E37" s="337"/>
      <c r="F37" s="332"/>
      <c r="G37" s="337"/>
      <c r="H37" s="333" t="s">
        <v>483</v>
      </c>
      <c r="I37" s="342">
        <f>SUM(I27:I36)</f>
        <v>57148.470000000008</v>
      </c>
      <c r="J37" s="332"/>
      <c r="K37" s="332"/>
      <c r="L37" s="332"/>
      <c r="M37" s="332"/>
      <c r="N37" s="332"/>
      <c r="O37" s="332"/>
      <c r="P37" s="332"/>
      <c r="Q37" s="332"/>
      <c r="R37" s="332"/>
      <c r="S37" s="332"/>
      <c r="T37" s="332"/>
      <c r="U37" s="332"/>
      <c r="V37" s="332"/>
      <c r="W37" s="332"/>
      <c r="X37" s="332"/>
      <c r="Y37" s="332"/>
      <c r="Z37" s="332"/>
    </row>
    <row r="38" spans="1:26" ht="12.75" customHeight="1">
      <c r="A38" s="332"/>
      <c r="B38" s="1669" t="s">
        <v>512</v>
      </c>
      <c r="C38" s="1670"/>
      <c r="D38" s="332"/>
      <c r="E38" s="337"/>
      <c r="F38" s="332"/>
      <c r="G38" s="337"/>
      <c r="H38" s="332"/>
      <c r="I38" s="341"/>
      <c r="J38" s="341"/>
      <c r="K38" s="332"/>
      <c r="L38" s="332"/>
      <c r="M38" s="332"/>
      <c r="N38" s="332"/>
      <c r="O38" s="332"/>
      <c r="P38" s="332"/>
      <c r="Q38" s="332"/>
      <c r="R38" s="332"/>
      <c r="S38" s="332"/>
      <c r="T38" s="332"/>
      <c r="U38" s="332"/>
      <c r="V38" s="332"/>
      <c r="W38" s="332"/>
      <c r="X38" s="332"/>
      <c r="Y38" s="332"/>
      <c r="Z38" s="332"/>
    </row>
    <row r="39" spans="1:26" ht="25.5" customHeight="1">
      <c r="A39" s="332"/>
      <c r="B39" s="332" t="s">
        <v>513</v>
      </c>
      <c r="C39" s="343" t="s">
        <v>514</v>
      </c>
      <c r="D39" s="332" t="s">
        <v>483</v>
      </c>
      <c r="E39" s="337">
        <v>60197</v>
      </c>
      <c r="F39" s="332" t="s">
        <v>382</v>
      </c>
      <c r="G39" s="337">
        <v>137000</v>
      </c>
      <c r="H39" s="332" t="s">
        <v>515</v>
      </c>
      <c r="I39" s="341">
        <f t="shared" ref="I39:I46" si="4">(E39*G39)/1000000</f>
        <v>8246.9889999999996</v>
      </c>
      <c r="J39" s="341"/>
      <c r="K39" s="332"/>
      <c r="L39" s="332"/>
      <c r="M39" s="332"/>
      <c r="N39" s="332"/>
      <c r="O39" s="332"/>
      <c r="P39" s="332"/>
      <c r="Q39" s="332"/>
      <c r="R39" s="332"/>
      <c r="S39" s="332"/>
      <c r="T39" s="332"/>
      <c r="U39" s="332"/>
      <c r="V39" s="332"/>
      <c r="W39" s="332"/>
      <c r="X39" s="332"/>
      <c r="Y39" s="332"/>
      <c r="Z39" s="332"/>
    </row>
    <row r="40" spans="1:26" ht="25.5" customHeight="1">
      <c r="A40" s="332"/>
      <c r="B40" s="332" t="s">
        <v>516</v>
      </c>
      <c r="C40" s="343" t="s">
        <v>517</v>
      </c>
      <c r="D40" s="332" t="s">
        <v>483</v>
      </c>
      <c r="E40" s="337">
        <v>60972</v>
      </c>
      <c r="F40" s="332" t="s">
        <v>382</v>
      </c>
      <c r="G40" s="337">
        <v>137000</v>
      </c>
      <c r="H40" s="332" t="s">
        <v>515</v>
      </c>
      <c r="I40" s="341">
        <f t="shared" si="4"/>
        <v>8353.1640000000007</v>
      </c>
      <c r="J40" s="341"/>
      <c r="K40" s="332"/>
      <c r="L40" s="332"/>
      <c r="M40" s="332"/>
      <c r="N40" s="332"/>
      <c r="O40" s="332"/>
      <c r="P40" s="332"/>
      <c r="Q40" s="332"/>
      <c r="R40" s="332"/>
      <c r="S40" s="332"/>
      <c r="T40" s="332"/>
      <c r="U40" s="332"/>
      <c r="V40" s="332"/>
      <c r="W40" s="332"/>
      <c r="X40" s="332"/>
      <c r="Y40" s="332"/>
      <c r="Z40" s="332"/>
    </row>
    <row r="41" spans="1:26" ht="12.75" customHeight="1">
      <c r="A41" s="332"/>
      <c r="B41" s="332" t="s">
        <v>518</v>
      </c>
      <c r="C41" s="332" t="s">
        <v>519</v>
      </c>
      <c r="D41" s="332" t="s">
        <v>483</v>
      </c>
      <c r="E41" s="337">
        <v>26413</v>
      </c>
      <c r="F41" s="332" t="s">
        <v>382</v>
      </c>
      <c r="G41" s="337">
        <v>137000</v>
      </c>
      <c r="H41" s="332" t="s">
        <v>515</v>
      </c>
      <c r="I41" s="341">
        <f t="shared" si="4"/>
        <v>3618.5810000000001</v>
      </c>
      <c r="J41" s="341"/>
      <c r="K41" s="332"/>
      <c r="L41" s="332"/>
      <c r="M41" s="332"/>
      <c r="N41" s="332"/>
      <c r="O41" s="332"/>
      <c r="P41" s="332"/>
      <c r="Q41" s="332"/>
      <c r="R41" s="332"/>
      <c r="S41" s="332"/>
      <c r="T41" s="332"/>
      <c r="U41" s="332"/>
      <c r="V41" s="332"/>
      <c r="W41" s="332"/>
      <c r="X41" s="332"/>
      <c r="Y41" s="332"/>
      <c r="Z41" s="332"/>
    </row>
    <row r="42" spans="1:26" ht="12.75" customHeight="1">
      <c r="A42" s="332"/>
      <c r="B42" s="332" t="s">
        <v>520</v>
      </c>
      <c r="C42" s="332" t="s">
        <v>519</v>
      </c>
      <c r="D42" s="332" t="s">
        <v>483</v>
      </c>
      <c r="E42" s="337">
        <v>18374</v>
      </c>
      <c r="F42" s="332" t="s">
        <v>382</v>
      </c>
      <c r="G42" s="337">
        <v>137000</v>
      </c>
      <c r="H42" s="332" t="s">
        <v>515</v>
      </c>
      <c r="I42" s="341">
        <f t="shared" si="4"/>
        <v>2517.2379999999998</v>
      </c>
      <c r="J42" s="341"/>
      <c r="K42" s="332"/>
      <c r="L42" s="332"/>
      <c r="M42" s="332"/>
      <c r="N42" s="332"/>
      <c r="O42" s="332"/>
      <c r="P42" s="332"/>
      <c r="Q42" s="332"/>
      <c r="R42" s="332"/>
      <c r="S42" s="332"/>
      <c r="T42" s="332"/>
      <c r="U42" s="332"/>
      <c r="V42" s="332"/>
      <c r="W42" s="332"/>
      <c r="X42" s="332"/>
      <c r="Y42" s="332"/>
      <c r="Z42" s="332"/>
    </row>
    <row r="43" spans="1:26" ht="12.75" customHeight="1">
      <c r="A43" s="332"/>
      <c r="B43" s="332" t="s">
        <v>521</v>
      </c>
      <c r="C43" s="332" t="s">
        <v>519</v>
      </c>
      <c r="D43" s="332" t="s">
        <v>483</v>
      </c>
      <c r="E43" s="337">
        <v>25028</v>
      </c>
      <c r="F43" s="332" t="s">
        <v>382</v>
      </c>
      <c r="G43" s="337">
        <v>137000</v>
      </c>
      <c r="H43" s="332" t="s">
        <v>515</v>
      </c>
      <c r="I43" s="341">
        <f t="shared" si="4"/>
        <v>3428.8359999999998</v>
      </c>
      <c r="J43" s="341"/>
      <c r="K43" s="332"/>
      <c r="L43" s="332"/>
      <c r="M43" s="332"/>
      <c r="N43" s="332"/>
      <c r="O43" s="332"/>
      <c r="P43" s="332"/>
      <c r="Q43" s="332"/>
      <c r="R43" s="332"/>
      <c r="S43" s="332"/>
      <c r="T43" s="332"/>
      <c r="U43" s="332"/>
      <c r="V43" s="332"/>
      <c r="W43" s="332"/>
      <c r="X43" s="332"/>
      <c r="Y43" s="332"/>
      <c r="Z43" s="332"/>
    </row>
    <row r="44" spans="1:26" ht="12.75" customHeight="1">
      <c r="A44" s="332"/>
      <c r="B44" s="332" t="s">
        <v>522</v>
      </c>
      <c r="C44" s="332" t="s">
        <v>519</v>
      </c>
      <c r="D44" s="332" t="s">
        <v>483</v>
      </c>
      <c r="E44" s="337">
        <v>22917</v>
      </c>
      <c r="F44" s="332" t="s">
        <v>382</v>
      </c>
      <c r="G44" s="337">
        <v>137000</v>
      </c>
      <c r="H44" s="332" t="s">
        <v>515</v>
      </c>
      <c r="I44" s="341">
        <f t="shared" si="4"/>
        <v>3139.6289999999999</v>
      </c>
      <c r="J44" s="341"/>
      <c r="K44" s="332"/>
      <c r="L44" s="332"/>
      <c r="M44" s="332"/>
      <c r="N44" s="332"/>
      <c r="O44" s="332"/>
      <c r="P44" s="332"/>
      <c r="Q44" s="332"/>
      <c r="R44" s="332"/>
      <c r="S44" s="332"/>
      <c r="T44" s="332"/>
      <c r="U44" s="332"/>
      <c r="V44" s="332"/>
      <c r="W44" s="332"/>
      <c r="X44" s="332"/>
      <c r="Y44" s="332"/>
      <c r="Z44" s="332"/>
    </row>
    <row r="45" spans="1:26" ht="12.75" customHeight="1">
      <c r="A45" s="332"/>
      <c r="B45" s="332" t="s">
        <v>523</v>
      </c>
      <c r="C45" s="332" t="s">
        <v>519</v>
      </c>
      <c r="D45" s="332" t="s">
        <v>483</v>
      </c>
      <c r="E45" s="337">
        <v>3620</v>
      </c>
      <c r="F45" s="332" t="s">
        <v>382</v>
      </c>
      <c r="G45" s="337">
        <v>137000</v>
      </c>
      <c r="H45" s="332" t="s">
        <v>515</v>
      </c>
      <c r="I45" s="341">
        <f t="shared" si="4"/>
        <v>495.94</v>
      </c>
      <c r="J45" s="341"/>
      <c r="K45" s="332"/>
      <c r="L45" s="332"/>
      <c r="M45" s="332"/>
      <c r="N45" s="332"/>
      <c r="O45" s="332"/>
      <c r="P45" s="332"/>
      <c r="Q45" s="332"/>
      <c r="R45" s="332"/>
      <c r="S45" s="332"/>
      <c r="T45" s="332"/>
      <c r="U45" s="332"/>
      <c r="V45" s="332"/>
      <c r="W45" s="332"/>
      <c r="X45" s="332"/>
      <c r="Y45" s="332"/>
      <c r="Z45" s="332"/>
    </row>
    <row r="46" spans="1:26" ht="12.75" customHeight="1">
      <c r="A46" s="332"/>
      <c r="B46" s="332" t="s">
        <v>524</v>
      </c>
      <c r="C46" s="332" t="s">
        <v>519</v>
      </c>
      <c r="D46" s="332" t="s">
        <v>483</v>
      </c>
      <c r="E46" s="337">
        <v>3566</v>
      </c>
      <c r="F46" s="332" t="s">
        <v>382</v>
      </c>
      <c r="G46" s="337">
        <v>137000</v>
      </c>
      <c r="H46" s="332" t="s">
        <v>515</v>
      </c>
      <c r="I46" s="341">
        <f t="shared" si="4"/>
        <v>488.54199999999997</v>
      </c>
      <c r="J46" s="341"/>
      <c r="K46" s="332"/>
      <c r="L46" s="332"/>
      <c r="M46" s="332"/>
      <c r="N46" s="332"/>
      <c r="O46" s="332"/>
      <c r="P46" s="332"/>
      <c r="Q46" s="332"/>
      <c r="R46" s="332"/>
      <c r="S46" s="332"/>
      <c r="T46" s="332"/>
      <c r="U46" s="332"/>
      <c r="V46" s="332"/>
      <c r="W46" s="332"/>
      <c r="X46" s="332"/>
      <c r="Y46" s="332"/>
      <c r="Z46" s="332"/>
    </row>
    <row r="47" spans="1:26" ht="12.75" customHeight="1">
      <c r="A47" s="332"/>
      <c r="B47" s="332"/>
      <c r="C47" s="332"/>
      <c r="D47" s="332"/>
      <c r="E47" s="337"/>
      <c r="F47" s="332"/>
      <c r="G47" s="337"/>
      <c r="H47" s="333" t="s">
        <v>483</v>
      </c>
      <c r="I47" s="342">
        <f>SUM(I39:I46)</f>
        <v>30288.918999999998</v>
      </c>
      <c r="J47" s="341"/>
      <c r="K47" s="332"/>
      <c r="L47" s="332"/>
      <c r="M47" s="332"/>
      <c r="N47" s="332"/>
      <c r="O47" s="332"/>
      <c r="P47" s="332"/>
      <c r="Q47" s="332"/>
      <c r="R47" s="332"/>
      <c r="S47" s="332"/>
      <c r="T47" s="332"/>
      <c r="U47" s="332"/>
      <c r="V47" s="332"/>
      <c r="W47" s="332"/>
      <c r="X47" s="332"/>
      <c r="Y47" s="332"/>
      <c r="Z47" s="332"/>
    </row>
    <row r="48" spans="1:26" ht="12.75" customHeight="1">
      <c r="A48" s="332"/>
      <c r="B48" s="1669" t="s">
        <v>525</v>
      </c>
      <c r="C48" s="1670"/>
      <c r="D48" s="333"/>
      <c r="E48" s="340"/>
      <c r="F48" s="332"/>
      <c r="G48" s="337"/>
      <c r="H48" s="332"/>
      <c r="I48" s="341"/>
      <c r="J48" s="341"/>
      <c r="K48" s="332"/>
      <c r="L48" s="332"/>
      <c r="M48" s="332"/>
      <c r="N48" s="332"/>
      <c r="O48" s="332"/>
      <c r="P48" s="332"/>
      <c r="Q48" s="332"/>
      <c r="R48" s="332"/>
      <c r="S48" s="332"/>
      <c r="T48" s="332"/>
      <c r="U48" s="332"/>
      <c r="V48" s="332"/>
      <c r="W48" s="332"/>
      <c r="X48" s="332"/>
      <c r="Y48" s="332"/>
      <c r="Z48" s="332"/>
    </row>
    <row r="49" spans="1:26" ht="12.75" customHeight="1">
      <c r="A49" s="332"/>
      <c r="B49" s="332" t="s">
        <v>526</v>
      </c>
      <c r="C49" s="332" t="s">
        <v>527</v>
      </c>
      <c r="D49" s="332" t="s">
        <v>486</v>
      </c>
      <c r="E49" s="337">
        <v>11831</v>
      </c>
      <c r="F49" s="332" t="s">
        <v>382</v>
      </c>
      <c r="G49" s="337">
        <v>140983</v>
      </c>
      <c r="H49" s="332" t="s">
        <v>305</v>
      </c>
      <c r="I49" s="337">
        <f t="shared" ref="I49:I53" si="5">(E49*G49)/1000000</f>
        <v>1667.969873</v>
      </c>
      <c r="J49" s="337"/>
      <c r="K49" s="332"/>
      <c r="L49" s="332"/>
      <c r="M49" s="332"/>
      <c r="N49" s="332"/>
      <c r="O49" s="332"/>
      <c r="P49" s="332"/>
      <c r="Q49" s="332"/>
      <c r="R49" s="332"/>
      <c r="S49" s="332"/>
      <c r="T49" s="332"/>
      <c r="U49" s="332"/>
      <c r="V49" s="332"/>
      <c r="W49" s="332"/>
      <c r="X49" s="332"/>
      <c r="Y49" s="332"/>
      <c r="Z49" s="332"/>
    </row>
    <row r="50" spans="1:26" ht="12.75" customHeight="1">
      <c r="A50" s="332"/>
      <c r="B50" s="332" t="s">
        <v>528</v>
      </c>
      <c r="C50" s="332" t="s">
        <v>529</v>
      </c>
      <c r="D50" s="332" t="s">
        <v>486</v>
      </c>
      <c r="E50" s="337">
        <v>15038</v>
      </c>
      <c r="F50" s="332" t="s">
        <v>382</v>
      </c>
      <c r="G50" s="337">
        <v>140984</v>
      </c>
      <c r="H50" s="332" t="s">
        <v>305</v>
      </c>
      <c r="I50" s="337">
        <f t="shared" si="5"/>
        <v>2120.1173920000001</v>
      </c>
      <c r="J50" s="337"/>
      <c r="K50" s="332"/>
      <c r="L50" s="332"/>
      <c r="M50" s="332"/>
      <c r="N50" s="332"/>
      <c r="O50" s="332"/>
      <c r="P50" s="332"/>
      <c r="Q50" s="332"/>
      <c r="R50" s="332"/>
      <c r="S50" s="332"/>
      <c r="T50" s="332"/>
      <c r="U50" s="332"/>
      <c r="V50" s="332"/>
      <c r="W50" s="332"/>
      <c r="X50" s="332"/>
      <c r="Y50" s="332"/>
      <c r="Z50" s="332"/>
    </row>
    <row r="51" spans="1:26" ht="12.75" customHeight="1">
      <c r="A51" s="332"/>
      <c r="B51" s="332" t="s">
        <v>530</v>
      </c>
      <c r="C51" s="332" t="s">
        <v>531</v>
      </c>
      <c r="D51" s="332" t="s">
        <v>486</v>
      </c>
      <c r="E51" s="337">
        <v>0</v>
      </c>
      <c r="F51" s="332" t="s">
        <v>382</v>
      </c>
      <c r="G51" s="337"/>
      <c r="H51" s="332" t="s">
        <v>305</v>
      </c>
      <c r="I51" s="337">
        <f t="shared" si="5"/>
        <v>0</v>
      </c>
      <c r="J51" s="337"/>
      <c r="K51" s="332"/>
      <c r="L51" s="332"/>
      <c r="M51" s="332"/>
      <c r="N51" s="332"/>
      <c r="O51" s="332"/>
      <c r="P51" s="332"/>
      <c r="Q51" s="332"/>
      <c r="R51" s="332"/>
      <c r="S51" s="332"/>
      <c r="T51" s="332"/>
      <c r="U51" s="332"/>
      <c r="V51" s="332"/>
      <c r="W51" s="332"/>
      <c r="X51" s="332"/>
      <c r="Y51" s="332"/>
      <c r="Z51" s="332"/>
    </row>
    <row r="52" spans="1:26" ht="12.75" customHeight="1">
      <c r="A52" s="332"/>
      <c r="B52" s="332" t="s">
        <v>532</v>
      </c>
      <c r="C52" s="332" t="s">
        <v>531</v>
      </c>
      <c r="D52" s="332" t="s">
        <v>486</v>
      </c>
      <c r="E52" s="337">
        <v>12159</v>
      </c>
      <c r="F52" s="332" t="s">
        <v>382</v>
      </c>
      <c r="G52" s="337">
        <v>140986</v>
      </c>
      <c r="H52" s="332" t="s">
        <v>305</v>
      </c>
      <c r="I52" s="337">
        <f t="shared" si="5"/>
        <v>1714.2487739999999</v>
      </c>
      <c r="J52" s="337"/>
      <c r="K52" s="332"/>
      <c r="L52" s="332"/>
      <c r="M52" s="332"/>
      <c r="N52" s="332"/>
      <c r="O52" s="332"/>
      <c r="P52" s="332"/>
      <c r="Q52" s="332"/>
      <c r="R52" s="332"/>
      <c r="S52" s="332"/>
      <c r="T52" s="332"/>
      <c r="U52" s="332"/>
      <c r="V52" s="332"/>
      <c r="W52" s="332"/>
      <c r="X52" s="332"/>
      <c r="Y52" s="332"/>
      <c r="Z52" s="332"/>
    </row>
    <row r="53" spans="1:26" ht="12.75" customHeight="1">
      <c r="A53" s="332"/>
      <c r="B53" s="332" t="s">
        <v>533</v>
      </c>
      <c r="C53" s="332" t="s">
        <v>531</v>
      </c>
      <c r="D53" s="332" t="s">
        <v>486</v>
      </c>
      <c r="E53" s="337">
        <v>26726</v>
      </c>
      <c r="F53" s="332" t="s">
        <v>382</v>
      </c>
      <c r="G53" s="337">
        <v>140987</v>
      </c>
      <c r="H53" s="332" t="s">
        <v>305</v>
      </c>
      <c r="I53" s="337">
        <f t="shared" si="5"/>
        <v>3768.0185620000002</v>
      </c>
      <c r="J53" s="337"/>
      <c r="K53" s="332"/>
      <c r="L53" s="332"/>
      <c r="M53" s="332"/>
      <c r="N53" s="332"/>
      <c r="O53" s="332"/>
      <c r="P53" s="332"/>
      <c r="Q53" s="332"/>
      <c r="R53" s="332"/>
      <c r="S53" s="332"/>
      <c r="T53" s="332"/>
      <c r="U53" s="332"/>
      <c r="V53" s="332"/>
      <c r="W53" s="332"/>
      <c r="X53" s="332"/>
      <c r="Y53" s="332"/>
      <c r="Z53" s="332"/>
    </row>
    <row r="54" spans="1:26" ht="12.75" customHeight="1">
      <c r="A54" s="332"/>
      <c r="B54" s="332"/>
      <c r="C54" s="332"/>
      <c r="D54" s="332"/>
      <c r="E54" s="337"/>
      <c r="F54" s="332"/>
      <c r="G54" s="337"/>
      <c r="H54" s="333" t="s">
        <v>483</v>
      </c>
      <c r="I54" s="339">
        <f>SUM(I49:I53)</f>
        <v>9270.3546009999991</v>
      </c>
      <c r="J54" s="332"/>
      <c r="K54" s="332"/>
      <c r="L54" s="332"/>
      <c r="M54" s="332"/>
      <c r="N54" s="332"/>
      <c r="O54" s="332"/>
      <c r="P54" s="332"/>
      <c r="Q54" s="332"/>
      <c r="R54" s="332"/>
      <c r="S54" s="332"/>
      <c r="T54" s="332"/>
      <c r="U54" s="332"/>
      <c r="V54" s="332"/>
      <c r="W54" s="332"/>
      <c r="X54" s="332"/>
      <c r="Y54" s="332"/>
      <c r="Z54" s="332"/>
    </row>
    <row r="55" spans="1:26" ht="12.75" customHeight="1">
      <c r="A55" s="332"/>
      <c r="B55" s="332"/>
      <c r="C55" s="332"/>
      <c r="D55" s="332"/>
      <c r="E55" s="332"/>
      <c r="F55" s="332"/>
      <c r="G55" s="332"/>
      <c r="H55" s="332"/>
      <c r="I55" s="332"/>
      <c r="J55" s="332"/>
      <c r="K55" s="332"/>
      <c r="L55" s="332"/>
      <c r="M55" s="332"/>
      <c r="N55" s="332"/>
      <c r="O55" s="332"/>
      <c r="P55" s="332"/>
      <c r="Q55" s="332"/>
      <c r="R55" s="332"/>
      <c r="S55" s="332"/>
      <c r="T55" s="332"/>
      <c r="U55" s="332"/>
      <c r="V55" s="332"/>
      <c r="W55" s="332"/>
      <c r="X55" s="332"/>
      <c r="Y55" s="332"/>
      <c r="Z55" s="332"/>
    </row>
    <row r="56" spans="1:26" ht="12.75" customHeight="1">
      <c r="A56" s="332"/>
      <c r="B56" s="1669" t="s">
        <v>345</v>
      </c>
      <c r="C56" s="1670"/>
      <c r="D56" s="332"/>
      <c r="E56" s="337"/>
      <c r="F56" s="332"/>
      <c r="G56" s="337"/>
      <c r="H56" s="332"/>
      <c r="I56" s="332"/>
      <c r="J56" s="332"/>
      <c r="K56" s="332"/>
      <c r="L56" s="332"/>
      <c r="M56" s="332"/>
      <c r="N56" s="332"/>
      <c r="O56" s="332"/>
      <c r="P56" s="332"/>
      <c r="Q56" s="332"/>
      <c r="R56" s="332"/>
      <c r="S56" s="332"/>
      <c r="T56" s="332"/>
      <c r="U56" s="332"/>
      <c r="V56" s="332"/>
      <c r="W56" s="332"/>
      <c r="X56" s="332"/>
      <c r="Y56" s="332"/>
      <c r="Z56" s="332"/>
    </row>
    <row r="57" spans="1:26" ht="12.75" customHeight="1">
      <c r="A57" s="332"/>
      <c r="B57" s="332"/>
      <c r="C57" s="332"/>
      <c r="D57" s="344"/>
      <c r="E57" s="337"/>
      <c r="F57" s="344"/>
      <c r="G57" s="337"/>
      <c r="H57" s="344"/>
      <c r="I57" s="337"/>
      <c r="J57" s="337"/>
      <c r="K57" s="332"/>
      <c r="L57" s="332"/>
      <c r="M57" s="332"/>
      <c r="N57" s="332"/>
      <c r="O57" s="332"/>
      <c r="P57" s="332"/>
      <c r="Q57" s="332"/>
      <c r="R57" s="332"/>
      <c r="S57" s="332"/>
      <c r="T57" s="332"/>
      <c r="U57" s="332"/>
      <c r="V57" s="332"/>
      <c r="W57" s="332"/>
      <c r="X57" s="332"/>
      <c r="Y57" s="332"/>
      <c r="Z57" s="332"/>
    </row>
    <row r="58" spans="1:26" ht="12.75" customHeight="1">
      <c r="A58" s="332"/>
      <c r="B58" s="332" t="s">
        <v>346</v>
      </c>
      <c r="C58" s="332" t="s">
        <v>347</v>
      </c>
      <c r="D58" s="332" t="s">
        <v>342</v>
      </c>
      <c r="E58" s="337">
        <v>202000</v>
      </c>
      <c r="F58" s="332" t="s">
        <v>382</v>
      </c>
      <c r="G58" s="337">
        <v>139</v>
      </c>
      <c r="H58" s="344" t="s">
        <v>329</v>
      </c>
      <c r="I58" s="337">
        <f t="shared" ref="I58:I59" si="6">(E58*G58)/1000</f>
        <v>28078</v>
      </c>
      <c r="J58" s="337"/>
      <c r="K58" s="332"/>
      <c r="L58" s="332"/>
      <c r="M58" s="332"/>
      <c r="N58" s="332"/>
      <c r="O58" s="332"/>
      <c r="P58" s="332"/>
      <c r="Q58" s="332"/>
      <c r="R58" s="332"/>
      <c r="S58" s="332"/>
      <c r="T58" s="332"/>
      <c r="U58" s="332"/>
      <c r="V58" s="332"/>
      <c r="W58" s="332"/>
      <c r="X58" s="332"/>
      <c r="Y58" s="332"/>
      <c r="Z58" s="332"/>
    </row>
    <row r="59" spans="1:26" ht="12.75" customHeight="1">
      <c r="A59" s="332"/>
      <c r="B59" s="332" t="s">
        <v>348</v>
      </c>
      <c r="C59" s="332" t="s">
        <v>349</v>
      </c>
      <c r="D59" s="332" t="s">
        <v>342</v>
      </c>
      <c r="E59" s="337">
        <v>236000</v>
      </c>
      <c r="F59" s="332" t="s">
        <v>382</v>
      </c>
      <c r="G59" s="337">
        <v>139</v>
      </c>
      <c r="H59" s="344" t="s">
        <v>329</v>
      </c>
      <c r="I59" s="337">
        <f t="shared" si="6"/>
        <v>32804</v>
      </c>
      <c r="J59" s="337"/>
      <c r="K59" s="332"/>
      <c r="L59" s="332"/>
      <c r="M59" s="332"/>
      <c r="N59" s="332"/>
      <c r="O59" s="332"/>
      <c r="P59" s="332"/>
      <c r="Q59" s="332"/>
      <c r="R59" s="332"/>
      <c r="S59" s="332"/>
      <c r="T59" s="332"/>
      <c r="U59" s="332"/>
      <c r="V59" s="332"/>
      <c r="W59" s="332"/>
      <c r="X59" s="332"/>
      <c r="Y59" s="332"/>
      <c r="Z59" s="332"/>
    </row>
    <row r="60" spans="1:26" ht="12.75" customHeight="1">
      <c r="A60" s="332"/>
      <c r="B60" s="332"/>
      <c r="C60" s="332"/>
      <c r="D60" s="332"/>
      <c r="E60" s="332"/>
      <c r="F60" s="332"/>
      <c r="G60" s="332"/>
      <c r="H60" s="333" t="s">
        <v>483</v>
      </c>
      <c r="I60" s="339">
        <f>SUM(I58:I59)</f>
        <v>60882</v>
      </c>
      <c r="J60" s="332"/>
      <c r="K60" s="332"/>
      <c r="L60" s="332"/>
      <c r="M60" s="332"/>
      <c r="N60" s="332"/>
      <c r="O60" s="332"/>
      <c r="P60" s="332"/>
      <c r="Q60" s="332"/>
      <c r="R60" s="332"/>
      <c r="S60" s="332"/>
      <c r="T60" s="332"/>
      <c r="U60" s="332"/>
      <c r="V60" s="332"/>
      <c r="W60" s="332"/>
      <c r="X60" s="332"/>
      <c r="Y60" s="332"/>
      <c r="Z60" s="332"/>
    </row>
    <row r="61" spans="1:26" ht="12.75" customHeight="1">
      <c r="A61" s="332"/>
      <c r="B61" s="332"/>
      <c r="C61" s="332"/>
      <c r="D61" s="332"/>
      <c r="E61" s="332"/>
      <c r="F61" s="332"/>
      <c r="G61" s="332"/>
      <c r="H61" s="333"/>
      <c r="I61" s="339"/>
      <c r="J61" s="332"/>
      <c r="K61" s="332"/>
      <c r="L61" s="332"/>
      <c r="M61" s="332"/>
      <c r="N61" s="332"/>
      <c r="O61" s="332"/>
      <c r="P61" s="332"/>
      <c r="Q61" s="332"/>
      <c r="R61" s="332"/>
      <c r="S61" s="332"/>
      <c r="T61" s="332"/>
      <c r="U61" s="332"/>
      <c r="V61" s="332"/>
      <c r="W61" s="332"/>
      <c r="X61" s="332"/>
      <c r="Y61" s="332"/>
      <c r="Z61" s="332"/>
    </row>
    <row r="62" spans="1:26" ht="12.75" customHeight="1">
      <c r="A62" s="332"/>
      <c r="B62" s="1669" t="s">
        <v>331</v>
      </c>
      <c r="C62" s="1670"/>
      <c r="D62" s="332"/>
      <c r="E62" s="337"/>
      <c r="F62" s="332"/>
      <c r="G62" s="337"/>
      <c r="H62" s="332"/>
      <c r="I62" s="337"/>
      <c r="J62" s="337"/>
      <c r="K62" s="332"/>
      <c r="L62" s="332"/>
      <c r="M62" s="332"/>
      <c r="N62" s="332"/>
      <c r="O62" s="332"/>
      <c r="P62" s="332"/>
      <c r="Q62" s="332"/>
      <c r="R62" s="332"/>
      <c r="S62" s="332"/>
      <c r="T62" s="332"/>
      <c r="U62" s="332"/>
      <c r="V62" s="332"/>
      <c r="W62" s="332"/>
      <c r="X62" s="332"/>
      <c r="Y62" s="332"/>
      <c r="Z62" s="332"/>
    </row>
    <row r="63" spans="1:26" ht="12.75" customHeight="1">
      <c r="A63" s="332"/>
      <c r="B63" s="332" t="s">
        <v>338</v>
      </c>
      <c r="C63" s="332" t="s">
        <v>339</v>
      </c>
      <c r="D63" s="333" t="s">
        <v>328</v>
      </c>
      <c r="E63" s="337">
        <v>743000</v>
      </c>
      <c r="F63" s="332" t="s">
        <v>382</v>
      </c>
      <c r="G63" s="337">
        <v>139</v>
      </c>
      <c r="H63" s="332" t="s">
        <v>329</v>
      </c>
      <c r="I63" s="339">
        <f>(E63*G63)/1000</f>
        <v>103277</v>
      </c>
      <c r="J63" s="345"/>
      <c r="K63" s="332"/>
      <c r="L63" s="332"/>
      <c r="M63" s="332"/>
      <c r="N63" s="332"/>
      <c r="O63" s="332"/>
      <c r="P63" s="332"/>
      <c r="Q63" s="332"/>
      <c r="R63" s="332"/>
      <c r="S63" s="332"/>
      <c r="T63" s="332"/>
      <c r="U63" s="332"/>
      <c r="V63" s="332"/>
      <c r="W63" s="332"/>
      <c r="X63" s="332"/>
      <c r="Y63" s="332"/>
      <c r="Z63" s="332"/>
    </row>
    <row r="64" spans="1:26" ht="12.75" customHeight="1">
      <c r="A64" s="332"/>
      <c r="B64" s="332"/>
      <c r="C64" s="332"/>
      <c r="D64" s="332"/>
      <c r="E64" s="337"/>
      <c r="F64" s="332"/>
      <c r="G64" s="337"/>
      <c r="H64" s="332"/>
      <c r="I64" s="337"/>
      <c r="J64" s="345"/>
      <c r="K64" s="332"/>
      <c r="L64" s="332"/>
      <c r="M64" s="332"/>
      <c r="N64" s="332"/>
      <c r="O64" s="332"/>
      <c r="P64" s="332"/>
      <c r="Q64" s="332"/>
      <c r="R64" s="332"/>
      <c r="S64" s="332"/>
      <c r="T64" s="332"/>
      <c r="U64" s="332"/>
      <c r="V64" s="332"/>
      <c r="W64" s="332"/>
      <c r="X64" s="332"/>
      <c r="Y64" s="332"/>
      <c r="Z64" s="332"/>
    </row>
    <row r="65" spans="1:26" ht="12.75" customHeight="1">
      <c r="A65" s="332"/>
      <c r="B65" s="332"/>
      <c r="C65" s="332"/>
      <c r="D65" s="332"/>
      <c r="E65" s="337"/>
      <c r="F65" s="332"/>
      <c r="G65" s="337"/>
      <c r="H65" s="332"/>
      <c r="I65" s="337"/>
      <c r="J65" s="345"/>
      <c r="K65" s="332"/>
      <c r="L65" s="332"/>
      <c r="M65" s="332"/>
      <c r="N65" s="332"/>
      <c r="O65" s="332"/>
      <c r="P65" s="332"/>
      <c r="Q65" s="332"/>
      <c r="R65" s="332"/>
      <c r="S65" s="332"/>
      <c r="T65" s="332"/>
      <c r="U65" s="332"/>
      <c r="V65" s="332"/>
      <c r="W65" s="332"/>
      <c r="X65" s="332"/>
      <c r="Y65" s="332"/>
      <c r="Z65" s="332"/>
    </row>
    <row r="66" spans="1:26" ht="12.75" customHeight="1">
      <c r="A66" s="332"/>
      <c r="B66" s="332"/>
      <c r="C66" s="332"/>
      <c r="D66" s="332"/>
      <c r="E66" s="332"/>
      <c r="F66" s="1671" t="s">
        <v>534</v>
      </c>
      <c r="G66" s="1672"/>
      <c r="H66" s="1670"/>
      <c r="I66" s="346">
        <f>I63+I60+I54+I47+I37+I24+I17+I10</f>
        <v>556600.82598900003</v>
      </c>
      <c r="J66" s="345"/>
      <c r="K66" s="332"/>
      <c r="L66" s="332"/>
      <c r="M66" s="332"/>
      <c r="N66" s="332"/>
      <c r="O66" s="332"/>
      <c r="P66" s="332"/>
      <c r="Q66" s="332"/>
      <c r="R66" s="332"/>
      <c r="S66" s="332"/>
      <c r="T66" s="332"/>
      <c r="U66" s="332"/>
      <c r="V66" s="332"/>
      <c r="W66" s="332"/>
      <c r="X66" s="332"/>
      <c r="Y66" s="332"/>
      <c r="Z66" s="332"/>
    </row>
    <row r="67" spans="1:26" ht="12.75" customHeight="1">
      <c r="A67" s="332"/>
      <c r="B67" s="332"/>
      <c r="C67" s="332"/>
      <c r="D67" s="332"/>
      <c r="E67" s="337"/>
      <c r="F67" s="332"/>
      <c r="G67" s="337"/>
      <c r="H67" s="332"/>
      <c r="I67" s="337"/>
      <c r="J67" s="345"/>
      <c r="K67" s="332"/>
      <c r="L67" s="332"/>
      <c r="M67" s="332"/>
      <c r="N67" s="332"/>
      <c r="O67" s="332"/>
      <c r="P67" s="332"/>
      <c r="Q67" s="332"/>
      <c r="R67" s="332"/>
      <c r="S67" s="332"/>
      <c r="T67" s="332"/>
      <c r="U67" s="332"/>
      <c r="V67" s="332"/>
      <c r="W67" s="332"/>
      <c r="X67" s="332"/>
      <c r="Y67" s="332"/>
      <c r="Z67" s="332"/>
    </row>
    <row r="68" spans="1:26" ht="12.75" customHeight="1">
      <c r="A68" s="332"/>
      <c r="B68" s="332"/>
      <c r="C68" s="332"/>
      <c r="D68" s="332"/>
      <c r="E68" s="337"/>
      <c r="F68" s="332"/>
      <c r="G68" s="337"/>
      <c r="H68" s="332"/>
      <c r="I68" s="337"/>
      <c r="J68" s="345"/>
      <c r="K68" s="332"/>
      <c r="L68" s="332"/>
      <c r="M68" s="332"/>
      <c r="N68" s="332"/>
      <c r="O68" s="332"/>
      <c r="P68" s="332"/>
      <c r="Q68" s="332"/>
      <c r="R68" s="332"/>
      <c r="S68" s="332"/>
      <c r="T68" s="332"/>
      <c r="U68" s="332"/>
      <c r="V68" s="332"/>
      <c r="W68" s="332"/>
      <c r="X68" s="332"/>
      <c r="Y68" s="332"/>
      <c r="Z68" s="332"/>
    </row>
    <row r="69" spans="1:26" ht="21" customHeight="1">
      <c r="A69" s="332"/>
      <c r="B69" s="172" t="s">
        <v>535</v>
      </c>
      <c r="C69" s="332"/>
      <c r="D69" s="332"/>
      <c r="E69" s="332"/>
      <c r="F69" s="332"/>
      <c r="G69" s="332"/>
      <c r="H69" s="332"/>
      <c r="I69" s="332"/>
      <c r="J69" s="332"/>
      <c r="K69" s="332"/>
      <c r="L69" s="332"/>
      <c r="M69" s="332"/>
      <c r="N69" s="332"/>
      <c r="O69" s="332"/>
      <c r="P69" s="332"/>
      <c r="Q69" s="332"/>
      <c r="R69" s="332"/>
      <c r="S69" s="332"/>
      <c r="T69" s="332"/>
      <c r="U69" s="332"/>
      <c r="V69" s="332"/>
      <c r="W69" s="332"/>
      <c r="X69" s="332"/>
      <c r="Y69" s="332"/>
      <c r="Z69" s="332"/>
    </row>
    <row r="70" spans="1:26" ht="12.75" customHeight="1">
      <c r="A70" s="332"/>
      <c r="B70" s="1669" t="s">
        <v>512</v>
      </c>
      <c r="C70" s="1670"/>
      <c r="D70" s="332"/>
      <c r="E70" s="332"/>
      <c r="F70" s="332"/>
      <c r="G70" s="332"/>
      <c r="H70" s="332"/>
      <c r="I70" s="332"/>
      <c r="J70" s="332"/>
      <c r="K70" s="332"/>
      <c r="L70" s="332"/>
      <c r="M70" s="332"/>
      <c r="N70" s="332"/>
      <c r="O70" s="332"/>
      <c r="P70" s="332"/>
      <c r="Q70" s="332"/>
      <c r="R70" s="332"/>
      <c r="S70" s="332"/>
      <c r="T70" s="332"/>
      <c r="U70" s="332"/>
      <c r="V70" s="332"/>
      <c r="W70" s="332"/>
      <c r="X70" s="332"/>
      <c r="Y70" s="332"/>
      <c r="Z70" s="332"/>
    </row>
    <row r="71" spans="1:26" ht="12.75" customHeight="1">
      <c r="A71" s="332"/>
      <c r="B71" s="332" t="s">
        <v>518</v>
      </c>
      <c r="C71" s="332" t="s">
        <v>519</v>
      </c>
      <c r="D71" s="332" t="s">
        <v>536</v>
      </c>
      <c r="E71" s="337">
        <v>52845</v>
      </c>
      <c r="F71" s="332" t="s">
        <v>382</v>
      </c>
      <c r="G71" s="337">
        <v>137001</v>
      </c>
      <c r="H71" s="332" t="s">
        <v>515</v>
      </c>
      <c r="I71" s="341">
        <f t="shared" ref="I71:I74" si="7">(E71*G71)/1000000</f>
        <v>7239.8178449999996</v>
      </c>
      <c r="J71" s="341"/>
      <c r="K71" s="332"/>
      <c r="L71" s="332"/>
      <c r="M71" s="332"/>
      <c r="N71" s="332"/>
      <c r="O71" s="332"/>
      <c r="P71" s="332"/>
      <c r="Q71" s="332"/>
      <c r="R71" s="332"/>
      <c r="S71" s="332"/>
      <c r="T71" s="332"/>
      <c r="U71" s="332"/>
      <c r="V71" s="332"/>
      <c r="W71" s="332"/>
      <c r="X71" s="332"/>
      <c r="Y71" s="332"/>
      <c r="Z71" s="332"/>
    </row>
    <row r="72" spans="1:26" ht="12.75" customHeight="1">
      <c r="A72" s="332"/>
      <c r="B72" s="332" t="s">
        <v>520</v>
      </c>
      <c r="C72" s="332" t="s">
        <v>519</v>
      </c>
      <c r="D72" s="332" t="s">
        <v>536</v>
      </c>
      <c r="E72" s="337">
        <v>37030</v>
      </c>
      <c r="F72" s="332" t="s">
        <v>382</v>
      </c>
      <c r="G72" s="337">
        <v>137001</v>
      </c>
      <c r="H72" s="332" t="s">
        <v>515</v>
      </c>
      <c r="I72" s="341">
        <f t="shared" si="7"/>
        <v>5073.1470300000001</v>
      </c>
      <c r="J72" s="341"/>
      <c r="K72" s="332"/>
      <c r="L72" s="332"/>
      <c r="M72" s="332"/>
      <c r="N72" s="332"/>
      <c r="O72" s="332"/>
      <c r="P72" s="332"/>
      <c r="Q72" s="332"/>
      <c r="R72" s="332"/>
      <c r="S72" s="332"/>
      <c r="T72" s="332"/>
      <c r="U72" s="332"/>
      <c r="V72" s="332"/>
      <c r="W72" s="332"/>
      <c r="X72" s="332"/>
      <c r="Y72" s="332"/>
      <c r="Z72" s="332"/>
    </row>
    <row r="73" spans="1:26" ht="12.75" customHeight="1">
      <c r="A73" s="332"/>
      <c r="B73" s="332" t="s">
        <v>521</v>
      </c>
      <c r="C73" s="332" t="s">
        <v>519</v>
      </c>
      <c r="D73" s="332" t="s">
        <v>536</v>
      </c>
      <c r="E73" s="337">
        <v>106975</v>
      </c>
      <c r="F73" s="332" t="s">
        <v>382</v>
      </c>
      <c r="G73" s="337">
        <v>137001</v>
      </c>
      <c r="H73" s="332" t="s">
        <v>515</v>
      </c>
      <c r="I73" s="341">
        <f t="shared" si="7"/>
        <v>14655.681975</v>
      </c>
      <c r="J73" s="341"/>
      <c r="K73" s="332"/>
      <c r="L73" s="332"/>
      <c r="M73" s="332"/>
      <c r="N73" s="332"/>
      <c r="O73" s="332"/>
      <c r="P73" s="332"/>
      <c r="Q73" s="332"/>
      <c r="R73" s="332"/>
      <c r="S73" s="332"/>
      <c r="T73" s="332"/>
      <c r="U73" s="332"/>
      <c r="V73" s="332"/>
      <c r="W73" s="332"/>
      <c r="X73" s="332"/>
      <c r="Y73" s="332"/>
      <c r="Z73" s="332"/>
    </row>
    <row r="74" spans="1:26" ht="12.75" customHeight="1">
      <c r="A74" s="332"/>
      <c r="B74" s="332" t="s">
        <v>522</v>
      </c>
      <c r="C74" s="332" t="s">
        <v>519</v>
      </c>
      <c r="D74" s="332" t="s">
        <v>536</v>
      </c>
      <c r="E74" s="337">
        <v>110608</v>
      </c>
      <c r="F74" s="332" t="s">
        <v>382</v>
      </c>
      <c r="G74" s="337">
        <v>137001</v>
      </c>
      <c r="H74" s="332" t="s">
        <v>515</v>
      </c>
      <c r="I74" s="341">
        <f t="shared" si="7"/>
        <v>15153.406607999999</v>
      </c>
      <c r="J74" s="341"/>
      <c r="K74" s="332"/>
      <c r="L74" s="332"/>
      <c r="M74" s="332"/>
      <c r="N74" s="332"/>
      <c r="O74" s="332"/>
      <c r="P74" s="332"/>
      <c r="Q74" s="332"/>
      <c r="R74" s="332"/>
      <c r="S74" s="332"/>
      <c r="T74" s="332"/>
      <c r="U74" s="332"/>
      <c r="V74" s="332"/>
      <c r="W74" s="332"/>
      <c r="X74" s="332"/>
      <c r="Y74" s="332"/>
      <c r="Z74" s="332"/>
    </row>
    <row r="75" spans="1:26" ht="12.75" customHeight="1">
      <c r="A75" s="332"/>
      <c r="B75" s="332"/>
      <c r="C75" s="332"/>
      <c r="D75" s="332"/>
      <c r="E75" s="337"/>
      <c r="F75" s="332"/>
      <c r="G75" s="337"/>
      <c r="H75" s="333" t="s">
        <v>537</v>
      </c>
      <c r="I75" s="342">
        <f>SUM(I71:I74)</f>
        <v>42122.053457999995</v>
      </c>
      <c r="J75" s="341"/>
      <c r="K75" s="332"/>
      <c r="L75" s="332"/>
      <c r="M75" s="332"/>
      <c r="N75" s="332"/>
      <c r="O75" s="332"/>
      <c r="P75" s="332"/>
      <c r="Q75" s="332"/>
      <c r="R75" s="332"/>
      <c r="S75" s="332"/>
      <c r="T75" s="332"/>
      <c r="U75" s="332"/>
      <c r="V75" s="332"/>
      <c r="W75" s="332"/>
      <c r="X75" s="332"/>
      <c r="Y75" s="332"/>
      <c r="Z75" s="332"/>
    </row>
    <row r="76" spans="1:26" ht="12.75" customHeight="1">
      <c r="A76" s="332"/>
      <c r="B76" s="332"/>
      <c r="C76" s="332"/>
      <c r="D76" s="332"/>
      <c r="E76" s="332"/>
      <c r="F76" s="332"/>
      <c r="G76" s="332"/>
      <c r="H76" s="332"/>
      <c r="I76" s="332"/>
      <c r="J76" s="332"/>
      <c r="K76" s="332"/>
      <c r="L76" s="332"/>
      <c r="M76" s="332"/>
      <c r="N76" s="332"/>
      <c r="O76" s="332"/>
      <c r="P76" s="332"/>
      <c r="Q76" s="332"/>
      <c r="R76" s="332"/>
      <c r="S76" s="332"/>
      <c r="T76" s="332"/>
      <c r="U76" s="332"/>
      <c r="V76" s="332"/>
      <c r="W76" s="332"/>
      <c r="X76" s="332"/>
      <c r="Y76" s="332"/>
      <c r="Z76" s="332"/>
    </row>
    <row r="77" spans="1:26" ht="12.75" customHeight="1">
      <c r="A77" s="332"/>
      <c r="B77" s="332"/>
      <c r="C77" s="332"/>
      <c r="D77" s="332"/>
      <c r="E77" s="332"/>
      <c r="F77" s="1673" t="s">
        <v>538</v>
      </c>
      <c r="G77" s="1672"/>
      <c r="H77" s="1670"/>
      <c r="I77" s="347">
        <f>I75</f>
        <v>42122.053457999995</v>
      </c>
      <c r="J77" s="332"/>
      <c r="K77" s="332"/>
      <c r="L77" s="332"/>
      <c r="M77" s="332"/>
      <c r="N77" s="332"/>
      <c r="O77" s="332"/>
      <c r="P77" s="332"/>
      <c r="Q77" s="332"/>
      <c r="R77" s="332"/>
      <c r="S77" s="332"/>
      <c r="T77" s="332"/>
      <c r="U77" s="332"/>
      <c r="V77" s="332"/>
      <c r="W77" s="332"/>
      <c r="X77" s="332"/>
      <c r="Y77" s="332"/>
      <c r="Z77" s="332"/>
    </row>
    <row r="78" spans="1:26" ht="12.75" customHeight="1">
      <c r="A78" s="332"/>
      <c r="B78" s="332"/>
      <c r="C78" s="332"/>
      <c r="D78" s="332"/>
      <c r="E78" s="332"/>
      <c r="F78" s="332"/>
      <c r="G78" s="332"/>
      <c r="H78" s="332"/>
      <c r="I78" s="332"/>
      <c r="J78" s="332"/>
      <c r="K78" s="332"/>
      <c r="L78" s="332"/>
      <c r="M78" s="332"/>
      <c r="N78" s="332"/>
      <c r="O78" s="332"/>
      <c r="P78" s="332"/>
      <c r="Q78" s="332"/>
      <c r="R78" s="332"/>
      <c r="S78" s="332"/>
      <c r="T78" s="332"/>
      <c r="U78" s="332"/>
      <c r="V78" s="332"/>
      <c r="W78" s="332"/>
      <c r="X78" s="332"/>
      <c r="Y78" s="332"/>
      <c r="Z78" s="332"/>
    </row>
    <row r="79" spans="1:26" ht="21" customHeight="1">
      <c r="A79" s="332"/>
      <c r="B79" s="172" t="s">
        <v>539</v>
      </c>
      <c r="C79" s="332"/>
      <c r="D79" s="332"/>
      <c r="E79" s="332"/>
      <c r="F79" s="332"/>
      <c r="G79" s="332"/>
      <c r="H79" s="332"/>
      <c r="I79" s="332"/>
      <c r="J79" s="332"/>
      <c r="K79" s="332"/>
      <c r="L79" s="332"/>
      <c r="M79" s="332"/>
      <c r="N79" s="332"/>
      <c r="O79" s="332"/>
      <c r="P79" s="332"/>
      <c r="Q79" s="332"/>
      <c r="R79" s="332"/>
      <c r="S79" s="332"/>
      <c r="T79" s="332"/>
      <c r="U79" s="332"/>
      <c r="V79" s="332"/>
      <c r="W79" s="332"/>
      <c r="X79" s="332"/>
      <c r="Y79" s="332"/>
      <c r="Z79" s="332"/>
    </row>
    <row r="80" spans="1:26" ht="12.75" customHeight="1">
      <c r="A80" s="332"/>
      <c r="B80" s="1669" t="s">
        <v>540</v>
      </c>
      <c r="C80" s="1670"/>
      <c r="D80" s="332"/>
      <c r="E80" s="337"/>
      <c r="F80" s="332"/>
      <c r="G80" s="337"/>
      <c r="H80" s="332"/>
      <c r="I80" s="332"/>
      <c r="J80" s="332"/>
      <c r="K80" s="332"/>
      <c r="L80" s="332"/>
      <c r="M80" s="332"/>
      <c r="N80" s="332"/>
      <c r="O80" s="332"/>
      <c r="P80" s="332"/>
      <c r="Q80" s="332"/>
      <c r="R80" s="332"/>
      <c r="S80" s="332"/>
      <c r="T80" s="332"/>
      <c r="U80" s="332"/>
      <c r="V80" s="332"/>
      <c r="W80" s="332"/>
      <c r="X80" s="332"/>
      <c r="Y80" s="332"/>
      <c r="Z80" s="332"/>
    </row>
    <row r="81" spans="1:26" ht="12.75" customHeight="1">
      <c r="A81" s="332"/>
      <c r="B81" s="332" t="s">
        <v>541</v>
      </c>
      <c r="C81" s="332" t="s">
        <v>335</v>
      </c>
      <c r="D81" s="332" t="s">
        <v>405</v>
      </c>
      <c r="E81" s="337">
        <v>15000000</v>
      </c>
      <c r="F81" s="332" t="s">
        <v>542</v>
      </c>
      <c r="G81" s="337">
        <v>1044</v>
      </c>
      <c r="H81" s="332" t="s">
        <v>543</v>
      </c>
      <c r="I81" s="337">
        <f t="shared" ref="I81:I88" si="8">(E81*G81)/1000000</f>
        <v>15660</v>
      </c>
      <c r="J81" s="337"/>
      <c r="K81" s="332"/>
      <c r="L81" s="332"/>
      <c r="M81" s="332"/>
      <c r="N81" s="332"/>
      <c r="O81" s="332"/>
      <c r="P81" s="332"/>
      <c r="Q81" s="332"/>
      <c r="R81" s="332"/>
      <c r="S81" s="332"/>
      <c r="T81" s="332"/>
      <c r="U81" s="332"/>
      <c r="V81" s="332"/>
      <c r="W81" s="332"/>
      <c r="X81" s="332"/>
      <c r="Y81" s="332"/>
      <c r="Z81" s="332"/>
    </row>
    <row r="82" spans="1:26" ht="12.75" customHeight="1">
      <c r="A82" s="332"/>
      <c r="B82" s="332" t="s">
        <v>544</v>
      </c>
      <c r="C82" s="332" t="s">
        <v>337</v>
      </c>
      <c r="D82" s="332" t="s">
        <v>405</v>
      </c>
      <c r="E82" s="337">
        <v>15000000</v>
      </c>
      <c r="F82" s="332" t="s">
        <v>542</v>
      </c>
      <c r="G82" s="337">
        <v>1044</v>
      </c>
      <c r="H82" s="332" t="s">
        <v>543</v>
      </c>
      <c r="I82" s="337">
        <f t="shared" si="8"/>
        <v>15660</v>
      </c>
      <c r="J82" s="337"/>
      <c r="K82" s="332"/>
      <c r="L82" s="332"/>
      <c r="M82" s="332"/>
      <c r="N82" s="332"/>
      <c r="O82" s="332"/>
      <c r="P82" s="332"/>
      <c r="Q82" s="332"/>
      <c r="R82" s="332"/>
      <c r="S82" s="332"/>
      <c r="T82" s="332"/>
      <c r="U82" s="332"/>
      <c r="V82" s="332"/>
      <c r="W82" s="332"/>
      <c r="X82" s="332"/>
      <c r="Y82" s="332"/>
      <c r="Z82" s="332"/>
    </row>
    <row r="83" spans="1:26" ht="12.75" customHeight="1">
      <c r="A83" s="332"/>
      <c r="B83" s="332" t="s">
        <v>545</v>
      </c>
      <c r="C83" s="332" t="s">
        <v>339</v>
      </c>
      <c r="D83" s="332" t="s">
        <v>405</v>
      </c>
      <c r="E83" s="337">
        <v>19000000</v>
      </c>
      <c r="F83" s="332" t="s">
        <v>542</v>
      </c>
      <c r="G83" s="337">
        <v>1044</v>
      </c>
      <c r="H83" s="332" t="s">
        <v>543</v>
      </c>
      <c r="I83" s="337">
        <f t="shared" si="8"/>
        <v>19836</v>
      </c>
      <c r="J83" s="337"/>
      <c r="K83" s="332"/>
      <c r="L83" s="332"/>
      <c r="M83" s="332"/>
      <c r="N83" s="332"/>
      <c r="O83" s="332"/>
      <c r="P83" s="332"/>
      <c r="Q83" s="332"/>
      <c r="R83" s="332"/>
      <c r="S83" s="332"/>
      <c r="T83" s="332"/>
      <c r="U83" s="332"/>
      <c r="V83" s="332"/>
      <c r="W83" s="332"/>
      <c r="X83" s="332"/>
      <c r="Y83" s="332"/>
      <c r="Z83" s="332"/>
    </row>
    <row r="84" spans="1:26" ht="12.75" customHeight="1">
      <c r="A84" s="332"/>
      <c r="B84" s="332" t="s">
        <v>546</v>
      </c>
      <c r="C84" s="332" t="s">
        <v>341</v>
      </c>
      <c r="D84" s="332" t="s">
        <v>405</v>
      </c>
      <c r="E84" s="337">
        <v>20000000</v>
      </c>
      <c r="F84" s="332" t="s">
        <v>542</v>
      </c>
      <c r="G84" s="337">
        <v>1044</v>
      </c>
      <c r="H84" s="332" t="s">
        <v>543</v>
      </c>
      <c r="I84" s="337">
        <f t="shared" si="8"/>
        <v>20880</v>
      </c>
      <c r="J84" s="337"/>
      <c r="K84" s="332"/>
      <c r="L84" s="332"/>
      <c r="M84" s="332"/>
      <c r="N84" s="332"/>
      <c r="O84" s="332"/>
      <c r="P84" s="332"/>
      <c r="Q84" s="332"/>
      <c r="R84" s="332"/>
      <c r="S84" s="332"/>
      <c r="T84" s="332"/>
      <c r="U84" s="332"/>
      <c r="V84" s="332"/>
      <c r="W84" s="332"/>
      <c r="X84" s="332"/>
      <c r="Y84" s="332"/>
      <c r="Z84" s="332"/>
    </row>
    <row r="85" spans="1:26" ht="12.75" customHeight="1">
      <c r="A85" s="332"/>
      <c r="B85" s="332" t="s">
        <v>547</v>
      </c>
      <c r="C85" s="332" t="s">
        <v>548</v>
      </c>
      <c r="D85" s="332" t="s">
        <v>405</v>
      </c>
      <c r="E85" s="337">
        <v>28000000</v>
      </c>
      <c r="F85" s="332" t="s">
        <v>542</v>
      </c>
      <c r="G85" s="337">
        <v>1044</v>
      </c>
      <c r="H85" s="332" t="s">
        <v>543</v>
      </c>
      <c r="I85" s="337">
        <f t="shared" si="8"/>
        <v>29232</v>
      </c>
      <c r="J85" s="337"/>
      <c r="K85" s="332"/>
      <c r="L85" s="332"/>
      <c r="M85" s="332"/>
      <c r="N85" s="332"/>
      <c r="O85" s="332"/>
      <c r="P85" s="332"/>
      <c r="Q85" s="332"/>
      <c r="R85" s="332"/>
      <c r="S85" s="332"/>
      <c r="T85" s="332"/>
      <c r="U85" s="332"/>
      <c r="V85" s="332"/>
      <c r="W85" s="332"/>
      <c r="X85" s="332"/>
      <c r="Y85" s="332"/>
      <c r="Z85" s="332"/>
    </row>
    <row r="86" spans="1:26" ht="12.75" customHeight="1">
      <c r="A86" s="332"/>
      <c r="B86" s="332" t="s">
        <v>549</v>
      </c>
      <c r="C86" s="332" t="s">
        <v>550</v>
      </c>
      <c r="D86" s="332" t="s">
        <v>405</v>
      </c>
      <c r="E86" s="337">
        <v>25000000</v>
      </c>
      <c r="F86" s="332" t="s">
        <v>542</v>
      </c>
      <c r="G86" s="337">
        <v>1044</v>
      </c>
      <c r="H86" s="332" t="s">
        <v>543</v>
      </c>
      <c r="I86" s="337">
        <f t="shared" si="8"/>
        <v>26100</v>
      </c>
      <c r="J86" s="337"/>
      <c r="K86" s="332"/>
      <c r="L86" s="332"/>
      <c r="M86" s="332"/>
      <c r="N86" s="332"/>
      <c r="O86" s="332"/>
      <c r="P86" s="332"/>
      <c r="Q86" s="332"/>
      <c r="R86" s="332"/>
      <c r="S86" s="332"/>
      <c r="T86" s="332"/>
      <c r="U86" s="332"/>
      <c r="V86" s="332"/>
      <c r="W86" s="332"/>
      <c r="X86" s="332"/>
      <c r="Y86" s="332"/>
      <c r="Z86" s="332"/>
    </row>
    <row r="87" spans="1:26" ht="12.75" customHeight="1">
      <c r="A87" s="332"/>
      <c r="B87" s="332" t="s">
        <v>551</v>
      </c>
      <c r="C87" s="332" t="s">
        <v>552</v>
      </c>
      <c r="D87" s="332" t="s">
        <v>405</v>
      </c>
      <c r="E87" s="337">
        <v>24000000</v>
      </c>
      <c r="F87" s="332" t="s">
        <v>542</v>
      </c>
      <c r="G87" s="337">
        <v>1044</v>
      </c>
      <c r="H87" s="332" t="s">
        <v>543</v>
      </c>
      <c r="I87" s="337">
        <f t="shared" si="8"/>
        <v>25056</v>
      </c>
      <c r="J87" s="337"/>
      <c r="K87" s="332"/>
      <c r="L87" s="332"/>
      <c r="M87" s="332"/>
      <c r="N87" s="332"/>
      <c r="O87" s="332"/>
      <c r="P87" s="332"/>
      <c r="Q87" s="332"/>
      <c r="R87" s="332"/>
      <c r="S87" s="332"/>
      <c r="T87" s="332"/>
      <c r="U87" s="332"/>
      <c r="V87" s="332"/>
      <c r="W87" s="332"/>
      <c r="X87" s="332"/>
      <c r="Y87" s="332"/>
      <c r="Z87" s="332"/>
    </row>
    <row r="88" spans="1:26" ht="12.75" customHeight="1">
      <c r="A88" s="332"/>
      <c r="B88" s="332" t="s">
        <v>553</v>
      </c>
      <c r="C88" s="332" t="s">
        <v>554</v>
      </c>
      <c r="D88" s="332" t="s">
        <v>405</v>
      </c>
      <c r="E88" s="337">
        <v>19000000</v>
      </c>
      <c r="F88" s="332" t="s">
        <v>542</v>
      </c>
      <c r="G88" s="337">
        <v>1044</v>
      </c>
      <c r="H88" s="332" t="s">
        <v>543</v>
      </c>
      <c r="I88" s="337">
        <f t="shared" si="8"/>
        <v>19836</v>
      </c>
      <c r="J88" s="337"/>
      <c r="K88" s="332"/>
      <c r="L88" s="332"/>
      <c r="M88" s="332"/>
      <c r="N88" s="332"/>
      <c r="O88" s="332"/>
      <c r="P88" s="332"/>
      <c r="Q88" s="332"/>
      <c r="R88" s="332"/>
      <c r="S88" s="332"/>
      <c r="T88" s="332"/>
      <c r="U88" s="332"/>
      <c r="V88" s="332"/>
      <c r="W88" s="332"/>
      <c r="X88" s="332"/>
      <c r="Y88" s="332"/>
      <c r="Z88" s="332"/>
    </row>
    <row r="89" spans="1:26" ht="12.75" customHeight="1">
      <c r="A89" s="332"/>
      <c r="B89" s="332"/>
      <c r="C89" s="332"/>
      <c r="D89" s="332"/>
      <c r="E89" s="332"/>
      <c r="F89" s="332"/>
      <c r="G89" s="332"/>
      <c r="H89" s="333" t="s">
        <v>555</v>
      </c>
      <c r="I89" s="339">
        <f>SUM(I81:I88)</f>
        <v>172260</v>
      </c>
      <c r="J89" s="332"/>
      <c r="K89" s="332"/>
      <c r="L89" s="332"/>
      <c r="M89" s="332"/>
      <c r="N89" s="332"/>
      <c r="O89" s="332"/>
      <c r="P89" s="332"/>
      <c r="Q89" s="332"/>
      <c r="R89" s="332"/>
      <c r="S89" s="332"/>
      <c r="T89" s="332"/>
      <c r="U89" s="332"/>
      <c r="V89" s="332"/>
      <c r="W89" s="332"/>
      <c r="X89" s="332"/>
      <c r="Y89" s="332"/>
      <c r="Z89" s="332"/>
    </row>
    <row r="90" spans="1:26" ht="12.75" customHeight="1">
      <c r="A90" s="332"/>
      <c r="B90" s="332"/>
      <c r="C90" s="332"/>
      <c r="D90" s="332"/>
      <c r="E90" s="332"/>
      <c r="F90" s="332"/>
      <c r="G90" s="332"/>
      <c r="H90" s="332"/>
      <c r="I90" s="332"/>
      <c r="J90" s="332"/>
      <c r="K90" s="332"/>
      <c r="L90" s="332"/>
      <c r="M90" s="332"/>
      <c r="N90" s="332"/>
      <c r="O90" s="332"/>
      <c r="P90" s="332"/>
      <c r="Q90" s="332"/>
      <c r="R90" s="332"/>
      <c r="S90" s="332"/>
      <c r="T90" s="332"/>
      <c r="U90" s="332"/>
      <c r="V90" s="332"/>
      <c r="W90" s="332"/>
      <c r="X90" s="332"/>
      <c r="Y90" s="332"/>
      <c r="Z90" s="332"/>
    </row>
    <row r="91" spans="1:26" ht="12.75" customHeight="1">
      <c r="A91" s="332"/>
      <c r="B91" s="332"/>
      <c r="C91" s="332"/>
      <c r="D91" s="332"/>
      <c r="E91" s="332"/>
      <c r="F91" s="1673" t="s">
        <v>555</v>
      </c>
      <c r="G91" s="1672"/>
      <c r="H91" s="1670"/>
      <c r="I91" s="346">
        <f>I89</f>
        <v>172260</v>
      </c>
      <c r="J91" s="332"/>
      <c r="K91" s="332"/>
      <c r="L91" s="332"/>
      <c r="M91" s="332"/>
      <c r="N91" s="332"/>
      <c r="O91" s="332"/>
      <c r="P91" s="332"/>
      <c r="Q91" s="332"/>
      <c r="R91" s="332"/>
      <c r="S91" s="332"/>
      <c r="T91" s="332"/>
      <c r="U91" s="332"/>
      <c r="V91" s="332"/>
      <c r="W91" s="332"/>
      <c r="X91" s="332"/>
      <c r="Y91" s="332"/>
      <c r="Z91" s="332"/>
    </row>
    <row r="92" spans="1:26" ht="12.75" customHeight="1">
      <c r="A92" s="332"/>
      <c r="B92" s="332"/>
      <c r="C92" s="332"/>
      <c r="D92" s="332"/>
      <c r="E92" s="332"/>
      <c r="F92" s="332"/>
      <c r="G92" s="332"/>
      <c r="H92" s="332"/>
      <c r="I92" s="332"/>
      <c r="J92" s="332"/>
      <c r="K92" s="332"/>
      <c r="L92" s="332"/>
      <c r="M92" s="332"/>
      <c r="N92" s="332"/>
      <c r="O92" s="332"/>
      <c r="P92" s="332"/>
      <c r="Q92" s="332"/>
      <c r="R92" s="332"/>
      <c r="S92" s="332"/>
      <c r="T92" s="332"/>
      <c r="U92" s="332"/>
      <c r="V92" s="332"/>
      <c r="W92" s="332"/>
      <c r="X92" s="332"/>
      <c r="Y92" s="332"/>
      <c r="Z92" s="332"/>
    </row>
    <row r="93" spans="1:26" ht="12.75" customHeight="1">
      <c r="A93" s="332"/>
      <c r="B93" s="332"/>
      <c r="C93" s="332"/>
      <c r="D93" s="332"/>
      <c r="E93" s="332"/>
      <c r="F93" s="332"/>
      <c r="G93" s="332"/>
      <c r="H93" s="332"/>
      <c r="I93" s="332"/>
      <c r="J93" s="332"/>
      <c r="K93" s="332"/>
      <c r="L93" s="332"/>
      <c r="M93" s="332"/>
      <c r="N93" s="332"/>
      <c r="O93" s="332"/>
      <c r="P93" s="332"/>
      <c r="Q93" s="332"/>
      <c r="R93" s="332"/>
      <c r="S93" s="332"/>
      <c r="T93" s="332"/>
      <c r="U93" s="332"/>
      <c r="V93" s="332"/>
      <c r="W93" s="332"/>
      <c r="X93" s="332"/>
      <c r="Y93" s="332"/>
      <c r="Z93" s="332"/>
    </row>
    <row r="94" spans="1:26" ht="12.75" customHeight="1">
      <c r="A94" s="332"/>
      <c r="B94" s="332"/>
      <c r="C94" s="332"/>
      <c r="D94" s="332"/>
      <c r="E94" s="332"/>
      <c r="F94" s="332"/>
      <c r="G94" s="332"/>
      <c r="H94" s="332"/>
      <c r="I94" s="332"/>
      <c r="J94" s="332"/>
      <c r="K94" s="332"/>
      <c r="L94" s="332"/>
      <c r="M94" s="332"/>
      <c r="N94" s="332"/>
      <c r="O94" s="332"/>
      <c r="P94" s="332"/>
      <c r="Q94" s="332"/>
      <c r="R94" s="332"/>
      <c r="S94" s="332"/>
      <c r="T94" s="332"/>
      <c r="U94" s="332"/>
      <c r="V94" s="332"/>
      <c r="W94" s="332"/>
      <c r="X94" s="332"/>
      <c r="Y94" s="332"/>
      <c r="Z94" s="332"/>
    </row>
    <row r="95" spans="1:26" ht="12.75" customHeight="1">
      <c r="A95" s="332"/>
      <c r="B95" s="332"/>
      <c r="C95" s="332"/>
      <c r="D95" s="332"/>
      <c r="E95" s="332"/>
      <c r="F95" s="332"/>
      <c r="G95" s="332"/>
      <c r="H95" s="332"/>
      <c r="I95" s="332"/>
      <c r="J95" s="332"/>
      <c r="K95" s="332"/>
      <c r="L95" s="332"/>
      <c r="M95" s="332"/>
      <c r="N95" s="332"/>
      <c r="O95" s="332"/>
      <c r="P95" s="332"/>
      <c r="Q95" s="332"/>
      <c r="R95" s="332"/>
      <c r="S95" s="332"/>
      <c r="T95" s="332"/>
      <c r="U95" s="332"/>
      <c r="V95" s="332"/>
      <c r="W95" s="332"/>
      <c r="X95" s="332"/>
      <c r="Y95" s="332"/>
      <c r="Z95" s="332"/>
    </row>
    <row r="96" spans="1:26" ht="12.75" customHeight="1">
      <c r="A96" s="332"/>
      <c r="B96" s="332"/>
      <c r="C96" s="332"/>
      <c r="D96" s="332"/>
      <c r="E96" s="332"/>
      <c r="F96" s="332"/>
      <c r="G96" s="332"/>
      <c r="H96" s="332"/>
      <c r="I96" s="332"/>
      <c r="J96" s="332"/>
      <c r="K96" s="332"/>
      <c r="L96" s="332"/>
      <c r="M96" s="332"/>
      <c r="N96" s="332"/>
      <c r="O96" s="332"/>
      <c r="P96" s="332"/>
      <c r="Q96" s="332"/>
      <c r="R96" s="332"/>
      <c r="S96" s="332"/>
      <c r="T96" s="332"/>
      <c r="U96" s="332"/>
      <c r="V96" s="332"/>
      <c r="W96" s="332"/>
      <c r="X96" s="332"/>
      <c r="Y96" s="332"/>
      <c r="Z96" s="332"/>
    </row>
    <row r="97" spans="1:26" ht="18.75" customHeight="1">
      <c r="A97" s="332"/>
      <c r="B97" s="348" t="s">
        <v>556</v>
      </c>
      <c r="C97" s="349"/>
      <c r="D97" s="349"/>
      <c r="E97" s="332"/>
      <c r="F97" s="332"/>
      <c r="G97" s="332"/>
      <c r="H97" s="332"/>
      <c r="I97" s="332"/>
      <c r="J97" s="332"/>
      <c r="K97" s="332"/>
      <c r="L97" s="332"/>
      <c r="M97" s="332"/>
      <c r="N97" s="332"/>
      <c r="O97" s="332"/>
      <c r="P97" s="332"/>
      <c r="Q97" s="332"/>
      <c r="R97" s="332"/>
      <c r="S97" s="332"/>
      <c r="T97" s="332"/>
      <c r="U97" s="332"/>
      <c r="V97" s="332"/>
      <c r="W97" s="332"/>
      <c r="X97" s="332"/>
      <c r="Y97" s="332"/>
      <c r="Z97" s="332"/>
    </row>
    <row r="98" spans="1:26" ht="18.75" customHeight="1">
      <c r="A98" s="332"/>
      <c r="B98" s="1665" t="s">
        <v>557</v>
      </c>
      <c r="C98" s="1660"/>
      <c r="D98" s="1660"/>
      <c r="E98" s="348">
        <v>2006</v>
      </c>
      <c r="F98" s="350"/>
      <c r="G98" s="350"/>
      <c r="H98" s="350"/>
      <c r="I98" s="350"/>
      <c r="J98" s="332"/>
      <c r="K98" s="332"/>
      <c r="L98" s="332"/>
      <c r="M98" s="332"/>
      <c r="N98" s="332"/>
      <c r="O98" s="332"/>
      <c r="P98" s="332"/>
      <c r="Q98" s="332"/>
      <c r="R98" s="332"/>
      <c r="S98" s="332"/>
      <c r="T98" s="332"/>
      <c r="U98" s="332"/>
      <c r="V98" s="332"/>
      <c r="W98" s="332"/>
      <c r="X98" s="332"/>
      <c r="Y98" s="332"/>
      <c r="Z98" s="332"/>
    </row>
    <row r="99" spans="1:26" ht="13.5" customHeight="1">
      <c r="A99" s="332"/>
      <c r="B99" s="350"/>
      <c r="C99" s="350"/>
      <c r="D99" s="350"/>
      <c r="E99" s="350"/>
      <c r="F99" s="350"/>
      <c r="G99" s="350"/>
      <c r="H99" s="350"/>
      <c r="I99" s="350"/>
      <c r="J99" s="332"/>
      <c r="K99" s="332"/>
      <c r="L99" s="332"/>
      <c r="M99" s="332"/>
      <c r="N99" s="332"/>
      <c r="O99" s="332"/>
      <c r="P99" s="332"/>
      <c r="Q99" s="332"/>
      <c r="R99" s="332"/>
      <c r="S99" s="332"/>
      <c r="T99" s="332"/>
      <c r="U99" s="332"/>
      <c r="V99" s="332"/>
      <c r="W99" s="332"/>
      <c r="X99" s="332"/>
      <c r="Y99" s="332"/>
      <c r="Z99" s="332"/>
    </row>
    <row r="100" spans="1:26" ht="13.5" customHeight="1">
      <c r="A100" s="332"/>
      <c r="B100" s="351"/>
      <c r="C100" s="352" t="s">
        <v>68</v>
      </c>
      <c r="D100" s="352" t="s">
        <v>451</v>
      </c>
      <c r="E100" s="352" t="s">
        <v>558</v>
      </c>
      <c r="F100" s="353" t="s">
        <v>95</v>
      </c>
      <c r="G100" s="353" t="s">
        <v>95</v>
      </c>
      <c r="H100" s="353" t="s">
        <v>95</v>
      </c>
      <c r="I100" s="353" t="s">
        <v>95</v>
      </c>
      <c r="J100" s="354" t="s">
        <v>95</v>
      </c>
      <c r="K100" s="332"/>
      <c r="L100" s="332"/>
      <c r="M100" s="332"/>
      <c r="N100" s="332"/>
      <c r="O100" s="332"/>
      <c r="P100" s="332"/>
      <c r="Q100" s="332"/>
      <c r="R100" s="332"/>
      <c r="S100" s="332"/>
      <c r="T100" s="332"/>
      <c r="U100" s="332"/>
      <c r="V100" s="332"/>
      <c r="W100" s="332"/>
      <c r="X100" s="332"/>
      <c r="Y100" s="332"/>
      <c r="Z100" s="332"/>
    </row>
    <row r="101" spans="1:26" ht="14.25" customHeight="1">
      <c r="A101" s="332"/>
      <c r="B101" s="355" t="s">
        <v>238</v>
      </c>
      <c r="C101" s="356" t="s">
        <v>453</v>
      </c>
      <c r="D101" s="356" t="s">
        <v>559</v>
      </c>
      <c r="E101" s="356" t="s">
        <v>560</v>
      </c>
      <c r="F101" s="356" t="s">
        <v>561</v>
      </c>
      <c r="G101" s="356" t="s">
        <v>562</v>
      </c>
      <c r="H101" s="356" t="s">
        <v>563</v>
      </c>
      <c r="I101" s="356" t="s">
        <v>564</v>
      </c>
      <c r="J101" s="357" t="s">
        <v>565</v>
      </c>
      <c r="K101" s="332"/>
      <c r="L101" s="332"/>
      <c r="M101" s="332"/>
      <c r="N101" s="332"/>
      <c r="O101" s="332"/>
      <c r="P101" s="332"/>
      <c r="Q101" s="332"/>
      <c r="R101" s="332"/>
      <c r="S101" s="332"/>
      <c r="T101" s="332"/>
      <c r="U101" s="332"/>
      <c r="V101" s="332"/>
      <c r="W101" s="332"/>
      <c r="X101" s="332"/>
      <c r="Y101" s="332"/>
      <c r="Z101" s="332"/>
    </row>
    <row r="102" spans="1:26" ht="12.75" customHeight="1">
      <c r="A102" s="332"/>
      <c r="B102" s="358" t="s">
        <v>253</v>
      </c>
      <c r="C102" s="359">
        <v>0</v>
      </c>
      <c r="D102" s="360">
        <v>55.80081818181818</v>
      </c>
      <c r="E102" s="361">
        <v>1</v>
      </c>
      <c r="F102" s="362">
        <f t="shared" ref="F102:F105" si="9">C102*1000*D102*E102/2000</f>
        <v>0</v>
      </c>
      <c r="G102" s="362">
        <f t="shared" ref="G102:G105" si="10">F102*(44/12)</f>
        <v>0</v>
      </c>
      <c r="H102" s="363">
        <f t="shared" ref="H102:H105" si="11">G102*0.9072</f>
        <v>0</v>
      </c>
      <c r="I102" s="364">
        <f t="shared" ref="I102:I105" si="12">H102/1000000</f>
        <v>0</v>
      </c>
      <c r="J102" s="365">
        <f t="shared" ref="J102:J105" si="13">I102*(12/44)</f>
        <v>0</v>
      </c>
      <c r="K102" s="332"/>
      <c r="L102" s="332"/>
      <c r="M102" s="332"/>
      <c r="N102" s="332"/>
      <c r="O102" s="332"/>
      <c r="P102" s="332"/>
      <c r="Q102" s="332"/>
      <c r="R102" s="332"/>
      <c r="S102" s="332"/>
      <c r="T102" s="332"/>
      <c r="U102" s="332"/>
      <c r="V102" s="332"/>
      <c r="W102" s="332"/>
      <c r="X102" s="332"/>
      <c r="Y102" s="332"/>
      <c r="Z102" s="332"/>
    </row>
    <row r="103" spans="1:26" ht="12.75" customHeight="1">
      <c r="A103" s="332"/>
      <c r="B103" s="358" t="s">
        <v>457</v>
      </c>
      <c r="C103" s="359">
        <f>I66/1000</f>
        <v>556.60082598899999</v>
      </c>
      <c r="D103" s="360">
        <v>43.942731277533035</v>
      </c>
      <c r="E103" s="361">
        <v>1</v>
      </c>
      <c r="F103" s="362">
        <f t="shared" si="9"/>
        <v>12229.280262643777</v>
      </c>
      <c r="G103" s="362">
        <f t="shared" si="10"/>
        <v>44840.694296360511</v>
      </c>
      <c r="H103" s="363">
        <f t="shared" si="11"/>
        <v>40679.477865658257</v>
      </c>
      <c r="I103" s="364">
        <f t="shared" si="12"/>
        <v>4.0679477865658259E-2</v>
      </c>
      <c r="J103" s="365">
        <f t="shared" si="13"/>
        <v>1.1094403054270433E-2</v>
      </c>
      <c r="K103" s="332"/>
      <c r="L103" s="332"/>
      <c r="M103" s="332"/>
      <c r="N103" s="332"/>
      <c r="O103" s="332"/>
      <c r="P103" s="332"/>
      <c r="Q103" s="332"/>
      <c r="R103" s="332"/>
      <c r="S103" s="332"/>
      <c r="T103" s="332"/>
      <c r="U103" s="332"/>
      <c r="V103" s="332"/>
      <c r="W103" s="332"/>
      <c r="X103" s="332"/>
      <c r="Y103" s="332"/>
      <c r="Z103" s="332"/>
    </row>
    <row r="104" spans="1:26" ht="12.75" customHeight="1">
      <c r="A104" s="332"/>
      <c r="B104" s="358" t="s">
        <v>458</v>
      </c>
      <c r="C104" s="359">
        <f>I77/1000</f>
        <v>42.122053457999996</v>
      </c>
      <c r="D104" s="360">
        <v>47.33480176211453</v>
      </c>
      <c r="E104" s="361">
        <v>1</v>
      </c>
      <c r="F104" s="362">
        <f t="shared" si="9"/>
        <v>996.91952512381033</v>
      </c>
      <c r="G104" s="362">
        <f t="shared" si="10"/>
        <v>3655.3715921206376</v>
      </c>
      <c r="H104" s="363">
        <f t="shared" si="11"/>
        <v>3316.1531083718423</v>
      </c>
      <c r="I104" s="364">
        <f t="shared" si="12"/>
        <v>3.3161531083718424E-3</v>
      </c>
      <c r="J104" s="365">
        <f t="shared" si="13"/>
        <v>9.0440539319232055E-4</v>
      </c>
      <c r="K104" s="332"/>
      <c r="L104" s="332"/>
      <c r="M104" s="332"/>
      <c r="N104" s="332"/>
      <c r="O104" s="332"/>
      <c r="P104" s="332"/>
      <c r="Q104" s="332"/>
      <c r="R104" s="332"/>
      <c r="S104" s="332"/>
      <c r="T104" s="332"/>
      <c r="U104" s="332"/>
      <c r="V104" s="332"/>
      <c r="W104" s="332"/>
      <c r="X104" s="332"/>
      <c r="Y104" s="332"/>
      <c r="Z104" s="332"/>
    </row>
    <row r="105" spans="1:26" ht="12.75" customHeight="1">
      <c r="A105" s="332"/>
      <c r="B105" s="358" t="s">
        <v>399</v>
      </c>
      <c r="C105" s="359">
        <f>I91/1000</f>
        <v>172.26</v>
      </c>
      <c r="D105" s="360">
        <v>31.872246696035241</v>
      </c>
      <c r="E105" s="361">
        <v>1</v>
      </c>
      <c r="F105" s="362">
        <f t="shared" si="9"/>
        <v>2745.1566079295153</v>
      </c>
      <c r="G105" s="362">
        <f t="shared" si="10"/>
        <v>10065.574229074889</v>
      </c>
      <c r="H105" s="363">
        <f t="shared" si="11"/>
        <v>9131.4889406167404</v>
      </c>
      <c r="I105" s="364">
        <f t="shared" si="12"/>
        <v>9.1314889406167409E-3</v>
      </c>
      <c r="J105" s="365">
        <f t="shared" si="13"/>
        <v>2.4904060747136564E-3</v>
      </c>
      <c r="K105" s="332"/>
      <c r="L105" s="332"/>
      <c r="M105" s="332"/>
      <c r="N105" s="332"/>
      <c r="O105" s="332"/>
      <c r="P105" s="332"/>
      <c r="Q105" s="332"/>
      <c r="R105" s="332"/>
      <c r="S105" s="332"/>
      <c r="T105" s="332"/>
      <c r="U105" s="332"/>
      <c r="V105" s="332"/>
      <c r="W105" s="332"/>
      <c r="X105" s="332"/>
      <c r="Y105" s="332"/>
      <c r="Z105" s="332"/>
    </row>
    <row r="106" spans="1:26" ht="13.5" customHeight="1">
      <c r="A106" s="332"/>
      <c r="B106" s="1674" t="s">
        <v>566</v>
      </c>
      <c r="C106" s="1675"/>
      <c r="D106" s="1675"/>
      <c r="E106" s="1675"/>
      <c r="F106" s="1676"/>
      <c r="G106" s="366">
        <f t="shared" ref="G106:I106" si="14">SUM(G102:G105)</f>
        <v>58561.640117556039</v>
      </c>
      <c r="H106" s="367">
        <f t="shared" si="14"/>
        <v>53127.119914646843</v>
      </c>
      <c r="I106" s="368">
        <f t="shared" si="14"/>
        <v>5.3127119914646845E-2</v>
      </c>
      <c r="J106" s="369"/>
      <c r="K106" s="332"/>
      <c r="L106" s="332"/>
      <c r="M106" s="332"/>
      <c r="N106" s="332"/>
      <c r="O106" s="332"/>
      <c r="P106" s="332"/>
      <c r="Q106" s="332"/>
      <c r="R106" s="332"/>
      <c r="S106" s="332"/>
      <c r="T106" s="332"/>
      <c r="U106" s="332"/>
      <c r="V106" s="332"/>
      <c r="W106" s="332"/>
      <c r="X106" s="332"/>
      <c r="Y106" s="332"/>
      <c r="Z106" s="332"/>
    </row>
    <row r="107" spans="1:26" ht="13.5" customHeight="1">
      <c r="A107" s="332"/>
      <c r="B107" s="332"/>
      <c r="C107" s="332"/>
      <c r="D107" s="332"/>
      <c r="E107" s="332"/>
      <c r="F107" s="332"/>
      <c r="G107" s="332"/>
      <c r="H107" s="332"/>
      <c r="I107" s="332"/>
      <c r="J107" s="332"/>
      <c r="K107" s="332"/>
      <c r="L107" s="332"/>
      <c r="M107" s="332"/>
      <c r="N107" s="332"/>
      <c r="O107" s="332"/>
      <c r="P107" s="332"/>
      <c r="Q107" s="332"/>
      <c r="R107" s="332"/>
      <c r="S107" s="332"/>
      <c r="T107" s="332"/>
      <c r="U107" s="332"/>
      <c r="V107" s="332"/>
      <c r="W107" s="332"/>
      <c r="X107" s="332"/>
      <c r="Y107" s="332"/>
      <c r="Z107" s="332"/>
    </row>
    <row r="108" spans="1:26" ht="12.75" customHeight="1">
      <c r="A108" s="332"/>
      <c r="B108" s="332"/>
      <c r="C108" s="332"/>
      <c r="D108" s="332"/>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row>
    <row r="109" spans="1:26" ht="18.75" customHeight="1">
      <c r="A109" s="332"/>
      <c r="B109" s="348" t="s">
        <v>556</v>
      </c>
      <c r="C109" s="332"/>
      <c r="D109" s="332"/>
      <c r="E109" s="332"/>
      <c r="F109" s="332"/>
      <c r="G109" s="332"/>
      <c r="H109" s="332"/>
      <c r="I109" s="332"/>
      <c r="J109" s="332"/>
      <c r="K109" s="332"/>
      <c r="L109" s="332"/>
      <c r="M109" s="332"/>
      <c r="N109" s="332"/>
      <c r="O109" s="332"/>
      <c r="P109" s="332"/>
      <c r="Q109" s="332"/>
      <c r="R109" s="332"/>
      <c r="S109" s="332"/>
      <c r="T109" s="332"/>
      <c r="U109" s="332"/>
      <c r="V109" s="332"/>
      <c r="W109" s="332"/>
      <c r="X109" s="332"/>
      <c r="Y109" s="332"/>
      <c r="Z109" s="332"/>
    </row>
    <row r="110" spans="1:26" ht="18.75" customHeight="1">
      <c r="A110" s="332"/>
      <c r="B110" s="1665" t="s">
        <v>567</v>
      </c>
      <c r="C110" s="1660"/>
      <c r="D110" s="1660"/>
      <c r="E110" s="348">
        <v>2006</v>
      </c>
      <c r="F110" s="350"/>
      <c r="G110" s="350"/>
      <c r="H110" s="350"/>
      <c r="I110" s="350"/>
      <c r="J110" s="332"/>
      <c r="K110" s="332"/>
      <c r="L110" s="332"/>
      <c r="M110" s="332"/>
      <c r="N110" s="332"/>
      <c r="O110" s="332"/>
      <c r="P110" s="332"/>
      <c r="Q110" s="332"/>
      <c r="R110" s="332"/>
      <c r="S110" s="332"/>
      <c r="T110" s="332"/>
      <c r="U110" s="332"/>
      <c r="V110" s="332"/>
      <c r="W110" s="332"/>
      <c r="X110" s="332"/>
      <c r="Y110" s="332"/>
      <c r="Z110" s="332"/>
    </row>
    <row r="111" spans="1:26" ht="13.5" customHeight="1">
      <c r="A111" s="332"/>
      <c r="B111" s="350"/>
      <c r="C111" s="350"/>
      <c r="D111" s="350"/>
      <c r="E111" s="350"/>
      <c r="F111" s="350"/>
      <c r="G111" s="350"/>
      <c r="H111" s="350"/>
      <c r="I111" s="350"/>
      <c r="J111" s="332"/>
      <c r="K111" s="332"/>
      <c r="L111" s="332"/>
      <c r="M111" s="332"/>
      <c r="N111" s="332"/>
      <c r="O111" s="332"/>
      <c r="P111" s="332"/>
      <c r="Q111" s="332"/>
      <c r="R111" s="332"/>
      <c r="S111" s="332"/>
      <c r="T111" s="332"/>
      <c r="U111" s="332"/>
      <c r="V111" s="332"/>
      <c r="W111" s="332"/>
      <c r="X111" s="332"/>
      <c r="Y111" s="332"/>
      <c r="Z111" s="332"/>
    </row>
    <row r="112" spans="1:26" ht="13.5" customHeight="1">
      <c r="A112" s="332"/>
      <c r="B112" s="370"/>
      <c r="C112" s="371" t="s">
        <v>68</v>
      </c>
      <c r="D112" s="372" t="s">
        <v>451</v>
      </c>
      <c r="E112" s="372" t="s">
        <v>95</v>
      </c>
      <c r="F112" s="371" t="s">
        <v>452</v>
      </c>
      <c r="G112" s="373" t="s">
        <v>95</v>
      </c>
      <c r="H112" s="350"/>
      <c r="I112" s="1663" t="s">
        <v>1</v>
      </c>
      <c r="J112" s="1664"/>
      <c r="K112" s="332"/>
      <c r="L112" s="332"/>
      <c r="M112" s="332"/>
      <c r="N112" s="332"/>
      <c r="O112" s="332"/>
      <c r="P112" s="332"/>
      <c r="Q112" s="332"/>
      <c r="R112" s="332"/>
      <c r="S112" s="332"/>
      <c r="T112" s="332"/>
      <c r="U112" s="332"/>
      <c r="V112" s="332"/>
      <c r="W112" s="332"/>
      <c r="X112" s="332"/>
      <c r="Y112" s="332"/>
      <c r="Z112" s="332"/>
    </row>
    <row r="113" spans="1:26" ht="14.25" customHeight="1">
      <c r="A113" s="332"/>
      <c r="B113" s="374" t="s">
        <v>238</v>
      </c>
      <c r="C113" s="375" t="s">
        <v>453</v>
      </c>
      <c r="D113" s="376" t="s">
        <v>454</v>
      </c>
      <c r="E113" s="376" t="s">
        <v>455</v>
      </c>
      <c r="F113" s="375"/>
      <c r="G113" s="377" t="s">
        <v>568</v>
      </c>
      <c r="H113" s="356"/>
      <c r="I113" s="25"/>
      <c r="J113" s="25"/>
      <c r="K113" s="332"/>
      <c r="L113" s="332"/>
      <c r="M113" s="332"/>
      <c r="N113" s="332"/>
      <c r="O113" s="332"/>
      <c r="P113" s="332"/>
      <c r="Q113" s="332"/>
      <c r="R113" s="332"/>
      <c r="S113" s="332"/>
      <c r="T113" s="332"/>
      <c r="U113" s="332"/>
      <c r="V113" s="332"/>
      <c r="W113" s="332"/>
      <c r="X113" s="332"/>
      <c r="Y113" s="332"/>
      <c r="Z113" s="332"/>
    </row>
    <row r="114" spans="1:26" ht="12.75" customHeight="1">
      <c r="A114" s="332"/>
      <c r="B114" s="358" t="s">
        <v>253</v>
      </c>
      <c r="C114" s="359">
        <v>0</v>
      </c>
      <c r="D114" s="378">
        <v>1.0023030599890001E-3</v>
      </c>
      <c r="E114" s="379">
        <f t="shared" ref="E114:E117" si="15">C114*D114</f>
        <v>0</v>
      </c>
      <c r="F114" s="362">
        <f t="shared" ref="F114:F117" si="16">$J$115</f>
        <v>28</v>
      </c>
      <c r="G114" s="380">
        <f t="shared" ref="G114:G117" si="17">E114*F114/1000000</f>
        <v>0</v>
      </c>
      <c r="H114" s="381"/>
      <c r="I114" s="26" t="s">
        <v>60</v>
      </c>
      <c r="J114" s="27">
        <f>Summary!E4</f>
        <v>1</v>
      </c>
      <c r="K114" s="332"/>
      <c r="L114" s="332"/>
      <c r="M114" s="332"/>
      <c r="N114" s="332"/>
      <c r="O114" s="332"/>
      <c r="P114" s="332"/>
      <c r="Q114" s="332"/>
      <c r="R114" s="332"/>
      <c r="S114" s="332"/>
      <c r="T114" s="332"/>
      <c r="U114" s="332"/>
      <c r="V114" s="332"/>
      <c r="W114" s="332"/>
      <c r="X114" s="332"/>
      <c r="Y114" s="332"/>
      <c r="Z114" s="332"/>
    </row>
    <row r="115" spans="1:26" ht="12.75" customHeight="1">
      <c r="A115" s="332"/>
      <c r="B115" s="358" t="s">
        <v>457</v>
      </c>
      <c r="C115" s="359">
        <f t="shared" ref="C115:C117" si="18">C103</f>
        <v>556.60082598899999</v>
      </c>
      <c r="D115" s="378">
        <v>3.006909179967E-3</v>
      </c>
      <c r="E115" s="379">
        <f t="shared" si="15"/>
        <v>1.6736481332435389</v>
      </c>
      <c r="F115" s="362">
        <f t="shared" si="16"/>
        <v>28</v>
      </c>
      <c r="G115" s="382">
        <f t="shared" si="17"/>
        <v>4.6862147730819087E-5</v>
      </c>
      <c r="H115" s="381"/>
      <c r="I115" s="26" t="s">
        <v>62</v>
      </c>
      <c r="J115" s="27">
        <f>Summary!E5</f>
        <v>28</v>
      </c>
      <c r="K115" s="332"/>
      <c r="L115" s="332"/>
      <c r="M115" s="332"/>
      <c r="N115" s="332"/>
      <c r="O115" s="332"/>
      <c r="P115" s="332"/>
      <c r="Q115" s="332"/>
      <c r="R115" s="332"/>
      <c r="S115" s="332"/>
      <c r="T115" s="332"/>
      <c r="U115" s="332"/>
      <c r="V115" s="332"/>
      <c r="W115" s="332"/>
      <c r="X115" s="332"/>
      <c r="Y115" s="332"/>
      <c r="Z115" s="332"/>
    </row>
    <row r="116" spans="1:26" ht="12.75" customHeight="1">
      <c r="A116" s="332"/>
      <c r="B116" s="358" t="s">
        <v>458</v>
      </c>
      <c r="C116" s="359">
        <f t="shared" si="18"/>
        <v>42.122053457999996</v>
      </c>
      <c r="D116" s="378">
        <v>3.006909179967E-3</v>
      </c>
      <c r="E116" s="379">
        <f t="shared" si="15"/>
        <v>0.1266571892219209</v>
      </c>
      <c r="F116" s="362">
        <f t="shared" si="16"/>
        <v>28</v>
      </c>
      <c r="G116" s="383">
        <f t="shared" si="17"/>
        <v>3.5464012982137851E-6</v>
      </c>
      <c r="H116" s="384"/>
      <c r="I116" s="26" t="s">
        <v>63</v>
      </c>
      <c r="J116" s="27">
        <f>Summary!E6</f>
        <v>265</v>
      </c>
      <c r="K116" s="332"/>
      <c r="L116" s="332"/>
      <c r="M116" s="332"/>
      <c r="N116" s="332"/>
      <c r="O116" s="332"/>
      <c r="P116" s="332"/>
      <c r="Q116" s="332"/>
      <c r="R116" s="332"/>
      <c r="S116" s="332"/>
      <c r="T116" s="332"/>
      <c r="U116" s="332"/>
      <c r="V116" s="332"/>
      <c r="W116" s="332"/>
      <c r="X116" s="332"/>
      <c r="Y116" s="332"/>
      <c r="Z116" s="332"/>
    </row>
    <row r="117" spans="1:26" ht="12.75" customHeight="1">
      <c r="A117" s="332"/>
      <c r="B117" s="358" t="s">
        <v>399</v>
      </c>
      <c r="C117" s="359">
        <f t="shared" si="18"/>
        <v>172.26</v>
      </c>
      <c r="D117" s="378">
        <v>9.4955026735800007E-4</v>
      </c>
      <c r="E117" s="379">
        <f t="shared" si="15"/>
        <v>0.16356952905508909</v>
      </c>
      <c r="F117" s="362">
        <f t="shared" si="16"/>
        <v>28</v>
      </c>
      <c r="G117" s="383">
        <f t="shared" si="17"/>
        <v>4.5799468135424944E-6</v>
      </c>
      <c r="H117" s="384"/>
      <c r="I117" s="26" t="s">
        <v>65</v>
      </c>
      <c r="J117" s="29">
        <f>Summary!E7</f>
        <v>23500</v>
      </c>
      <c r="K117" s="332"/>
      <c r="L117" s="332"/>
      <c r="M117" s="332"/>
      <c r="N117" s="332"/>
      <c r="O117" s="332"/>
      <c r="P117" s="332"/>
      <c r="Q117" s="332"/>
      <c r="R117" s="332"/>
      <c r="S117" s="332"/>
      <c r="T117" s="332"/>
      <c r="U117" s="332"/>
      <c r="V117" s="332"/>
      <c r="W117" s="332"/>
      <c r="X117" s="332"/>
      <c r="Y117" s="332"/>
      <c r="Z117" s="332"/>
    </row>
    <row r="118" spans="1:26" ht="13.5" customHeight="1">
      <c r="A118" s="332"/>
      <c r="B118" s="1677"/>
      <c r="C118" s="1675"/>
      <c r="D118" s="1675"/>
      <c r="E118" s="1675"/>
      <c r="F118" s="385" t="s">
        <v>152</v>
      </c>
      <c r="G118" s="386">
        <f>SUM(G114:G117)</f>
        <v>5.4988495842575369E-5</v>
      </c>
      <c r="H118" s="350"/>
      <c r="I118" s="26"/>
      <c r="J118" s="29"/>
      <c r="K118" s="332"/>
      <c r="L118" s="332"/>
      <c r="M118" s="332"/>
      <c r="N118" s="332"/>
      <c r="O118" s="332"/>
      <c r="P118" s="332"/>
      <c r="Q118" s="332"/>
      <c r="R118" s="332"/>
      <c r="S118" s="332"/>
      <c r="T118" s="332"/>
      <c r="U118" s="332"/>
      <c r="V118" s="332"/>
      <c r="W118" s="332"/>
      <c r="X118" s="332"/>
      <c r="Y118" s="332"/>
      <c r="Z118" s="332"/>
    </row>
    <row r="119" spans="1:26" ht="13.5" customHeight="1">
      <c r="A119" s="332"/>
      <c r="B119" s="350"/>
      <c r="C119" s="332"/>
      <c r="D119" s="332"/>
      <c r="E119" s="332"/>
      <c r="F119" s="387"/>
      <c r="G119" s="388"/>
      <c r="H119" s="350"/>
      <c r="I119" s="332"/>
      <c r="J119" s="332"/>
      <c r="K119" s="332"/>
      <c r="L119" s="332"/>
      <c r="M119" s="332"/>
      <c r="N119" s="332"/>
      <c r="O119" s="332"/>
      <c r="P119" s="332"/>
      <c r="Q119" s="332"/>
      <c r="R119" s="332"/>
      <c r="S119" s="332"/>
      <c r="T119" s="332"/>
      <c r="U119" s="332"/>
      <c r="V119" s="332"/>
      <c r="W119" s="332"/>
      <c r="X119" s="332"/>
      <c r="Y119" s="332"/>
      <c r="Z119" s="332"/>
    </row>
    <row r="120" spans="1:26" ht="12.75" customHeight="1">
      <c r="A120" s="332"/>
      <c r="B120" s="332"/>
      <c r="C120" s="332"/>
      <c r="D120" s="332"/>
      <c r="E120" s="332"/>
      <c r="F120" s="332"/>
      <c r="G120" s="332"/>
      <c r="H120" s="332"/>
      <c r="I120" s="332"/>
      <c r="J120" s="332"/>
      <c r="K120" s="332"/>
      <c r="L120" s="332"/>
      <c r="M120" s="332"/>
      <c r="N120" s="332"/>
      <c r="O120" s="332"/>
      <c r="P120" s="332"/>
      <c r="Q120" s="332"/>
      <c r="R120" s="332"/>
      <c r="S120" s="332"/>
      <c r="T120" s="332"/>
      <c r="U120" s="332"/>
      <c r="V120" s="332"/>
      <c r="W120" s="332"/>
      <c r="X120" s="332"/>
      <c r="Y120" s="332"/>
      <c r="Z120" s="332"/>
    </row>
    <row r="121" spans="1:26" ht="18.75" customHeight="1">
      <c r="A121" s="332"/>
      <c r="B121" s="348" t="s">
        <v>556</v>
      </c>
      <c r="C121" s="332"/>
      <c r="D121" s="332"/>
      <c r="E121" s="332"/>
      <c r="F121" s="332"/>
      <c r="G121" s="332"/>
      <c r="H121" s="332"/>
      <c r="I121" s="332"/>
      <c r="J121" s="332"/>
      <c r="K121" s="332"/>
      <c r="L121" s="332"/>
      <c r="M121" s="332"/>
      <c r="N121" s="332"/>
      <c r="O121" s="332"/>
      <c r="P121" s="332"/>
      <c r="Q121" s="332"/>
      <c r="R121" s="332"/>
      <c r="S121" s="332"/>
      <c r="T121" s="332"/>
      <c r="U121" s="332"/>
      <c r="V121" s="332"/>
      <c r="W121" s="332"/>
      <c r="X121" s="332"/>
      <c r="Y121" s="332"/>
      <c r="Z121" s="332"/>
    </row>
    <row r="122" spans="1:26" ht="18.75" customHeight="1">
      <c r="A122" s="332"/>
      <c r="B122" s="1665" t="s">
        <v>569</v>
      </c>
      <c r="C122" s="1660"/>
      <c r="D122" s="1660"/>
      <c r="E122" s="348">
        <v>2006</v>
      </c>
      <c r="F122" s="350"/>
      <c r="G122" s="350"/>
      <c r="H122" s="350"/>
      <c r="I122" s="350"/>
      <c r="J122" s="332"/>
      <c r="K122" s="332"/>
      <c r="L122" s="332"/>
      <c r="M122" s="332"/>
      <c r="N122" s="332"/>
      <c r="O122" s="332"/>
      <c r="P122" s="332"/>
      <c r="Q122" s="332"/>
      <c r="R122" s="332"/>
      <c r="S122" s="332"/>
      <c r="T122" s="332"/>
      <c r="U122" s="332"/>
      <c r="V122" s="332"/>
      <c r="W122" s="332"/>
      <c r="X122" s="332"/>
      <c r="Y122" s="332"/>
      <c r="Z122" s="332"/>
    </row>
    <row r="123" spans="1:26" ht="13.5" customHeight="1">
      <c r="A123" s="332"/>
      <c r="B123" s="332"/>
      <c r="C123" s="350"/>
      <c r="D123" s="350"/>
      <c r="E123" s="350"/>
      <c r="F123" s="350"/>
      <c r="G123" s="350"/>
      <c r="H123" s="350"/>
      <c r="I123" s="350"/>
      <c r="J123" s="332"/>
      <c r="K123" s="332"/>
      <c r="L123" s="332"/>
      <c r="M123" s="332"/>
      <c r="N123" s="332"/>
      <c r="O123" s="332"/>
      <c r="P123" s="332"/>
      <c r="Q123" s="332"/>
      <c r="R123" s="332"/>
      <c r="S123" s="332"/>
      <c r="T123" s="332"/>
      <c r="U123" s="332"/>
      <c r="V123" s="332"/>
      <c r="W123" s="332"/>
      <c r="X123" s="332"/>
      <c r="Y123" s="332"/>
      <c r="Z123" s="332"/>
    </row>
    <row r="124" spans="1:26" ht="13.5" customHeight="1">
      <c r="A124" s="332"/>
      <c r="B124" s="1678" t="s">
        <v>238</v>
      </c>
      <c r="C124" s="389" t="s">
        <v>68</v>
      </c>
      <c r="D124" s="390" t="s">
        <v>451</v>
      </c>
      <c r="E124" s="390" t="s">
        <v>461</v>
      </c>
      <c r="F124" s="389" t="s">
        <v>452</v>
      </c>
      <c r="G124" s="391" t="s">
        <v>95</v>
      </c>
      <c r="H124" s="350"/>
      <c r="I124" s="332"/>
      <c r="J124" s="332"/>
      <c r="K124" s="332"/>
      <c r="L124" s="332"/>
      <c r="M124" s="332"/>
      <c r="N124" s="332"/>
      <c r="O124" s="332"/>
      <c r="P124" s="332"/>
      <c r="Q124" s="332"/>
      <c r="R124" s="332"/>
      <c r="S124" s="332"/>
      <c r="T124" s="332"/>
      <c r="U124" s="332"/>
      <c r="V124" s="332"/>
      <c r="W124" s="332"/>
      <c r="X124" s="332"/>
      <c r="Y124" s="332"/>
      <c r="Z124" s="332"/>
    </row>
    <row r="125" spans="1:26" ht="14.25" customHeight="1">
      <c r="A125" s="332"/>
      <c r="B125" s="1679"/>
      <c r="C125" s="392" t="s">
        <v>453</v>
      </c>
      <c r="D125" s="393" t="s">
        <v>462</v>
      </c>
      <c r="E125" s="393" t="s">
        <v>463</v>
      </c>
      <c r="F125" s="392"/>
      <c r="G125" s="394" t="s">
        <v>570</v>
      </c>
      <c r="H125" s="356"/>
      <c r="I125" s="332"/>
      <c r="J125" s="332"/>
      <c r="K125" s="332"/>
      <c r="L125" s="332"/>
      <c r="M125" s="332"/>
      <c r="N125" s="332"/>
      <c r="O125" s="332"/>
      <c r="P125" s="332"/>
      <c r="Q125" s="332"/>
      <c r="R125" s="332"/>
      <c r="S125" s="332"/>
      <c r="T125" s="332"/>
      <c r="U125" s="332"/>
      <c r="V125" s="332"/>
      <c r="W125" s="332"/>
      <c r="X125" s="332"/>
      <c r="Y125" s="332"/>
      <c r="Z125" s="332"/>
    </row>
    <row r="126" spans="1:26" ht="12.75" customHeight="1">
      <c r="A126" s="332"/>
      <c r="B126" s="395" t="s">
        <v>253</v>
      </c>
      <c r="C126" s="396">
        <v>0</v>
      </c>
      <c r="D126" s="397">
        <v>1.5034545899835E-3</v>
      </c>
      <c r="E126" s="398">
        <f t="shared" ref="E126:E129" si="19">C126*D126</f>
        <v>0</v>
      </c>
      <c r="F126" s="399">
        <f t="shared" ref="F126:F129" si="20">$J$116</f>
        <v>265</v>
      </c>
      <c r="G126" s="400">
        <f t="shared" ref="G126:G129" si="21">E126*F126/1000000</f>
        <v>0</v>
      </c>
      <c r="H126" s="401"/>
      <c r="I126" s="332"/>
      <c r="J126" s="332"/>
      <c r="K126" s="332"/>
      <c r="L126" s="332"/>
      <c r="M126" s="332"/>
      <c r="N126" s="332"/>
      <c r="O126" s="332"/>
      <c r="P126" s="332"/>
      <c r="Q126" s="332"/>
      <c r="R126" s="332"/>
      <c r="S126" s="332"/>
      <c r="T126" s="332"/>
      <c r="U126" s="332"/>
      <c r="V126" s="332"/>
      <c r="W126" s="332"/>
      <c r="X126" s="332"/>
      <c r="Y126" s="332"/>
      <c r="Z126" s="332"/>
    </row>
    <row r="127" spans="1:26" ht="12.75" customHeight="1">
      <c r="A127" s="332"/>
      <c r="B127" s="395" t="s">
        <v>457</v>
      </c>
      <c r="C127" s="359">
        <f t="shared" ref="C127:C129" si="22">C115</f>
        <v>556.60082598899999</v>
      </c>
      <c r="D127" s="378">
        <v>6.0138183599339984E-4</v>
      </c>
      <c r="E127" s="379">
        <f t="shared" si="19"/>
        <v>0.33472962664870765</v>
      </c>
      <c r="F127" s="399">
        <f t="shared" si="20"/>
        <v>265</v>
      </c>
      <c r="G127" s="400">
        <f t="shared" si="21"/>
        <v>8.8703351061907525E-5</v>
      </c>
      <c r="H127" s="401"/>
      <c r="I127" s="332"/>
      <c r="J127" s="332"/>
      <c r="K127" s="332"/>
      <c r="L127" s="332"/>
      <c r="M127" s="332"/>
      <c r="N127" s="332"/>
      <c r="O127" s="332"/>
      <c r="P127" s="332"/>
      <c r="Q127" s="332"/>
      <c r="R127" s="332"/>
      <c r="S127" s="332"/>
      <c r="T127" s="332"/>
      <c r="U127" s="332"/>
      <c r="V127" s="332"/>
      <c r="W127" s="332"/>
      <c r="X127" s="332"/>
      <c r="Y127" s="332"/>
      <c r="Z127" s="332"/>
    </row>
    <row r="128" spans="1:26" ht="12.75" customHeight="1">
      <c r="A128" s="332"/>
      <c r="B128" s="395" t="s">
        <v>458</v>
      </c>
      <c r="C128" s="359">
        <f t="shared" si="22"/>
        <v>42.122053457999996</v>
      </c>
      <c r="D128" s="378">
        <v>6.0138183599339984E-4</v>
      </c>
      <c r="E128" s="379">
        <f t="shared" si="19"/>
        <v>2.5331437844384175E-2</v>
      </c>
      <c r="F128" s="399">
        <f t="shared" si="20"/>
        <v>265</v>
      </c>
      <c r="G128" s="400">
        <f t="shared" si="21"/>
        <v>6.7128310287618068E-6</v>
      </c>
      <c r="H128" s="401"/>
      <c r="I128" s="332"/>
      <c r="J128" s="332"/>
      <c r="K128" s="332"/>
      <c r="L128" s="332"/>
      <c r="M128" s="332"/>
      <c r="N128" s="332"/>
      <c r="O128" s="332"/>
      <c r="P128" s="332"/>
      <c r="Q128" s="332"/>
      <c r="R128" s="332"/>
      <c r="S128" s="332"/>
      <c r="T128" s="332"/>
      <c r="U128" s="332"/>
      <c r="V128" s="332"/>
      <c r="W128" s="332"/>
      <c r="X128" s="332"/>
      <c r="Y128" s="332"/>
      <c r="Z128" s="332"/>
    </row>
    <row r="129" spans="1:26" ht="12.75" customHeight="1">
      <c r="A129" s="332"/>
      <c r="B129" s="395" t="s">
        <v>399</v>
      </c>
      <c r="C129" s="359">
        <f t="shared" si="22"/>
        <v>172.26</v>
      </c>
      <c r="D129" s="378">
        <v>9.4955026735800017E-5</v>
      </c>
      <c r="E129" s="379">
        <f t="shared" si="19"/>
        <v>1.6356952905508908E-2</v>
      </c>
      <c r="F129" s="399">
        <f t="shared" si="20"/>
        <v>265</v>
      </c>
      <c r="G129" s="400">
        <f t="shared" si="21"/>
        <v>4.3345925199598607E-6</v>
      </c>
      <c r="H129" s="401"/>
      <c r="I129" s="332"/>
      <c r="J129" s="332"/>
      <c r="K129" s="332"/>
      <c r="L129" s="332"/>
      <c r="M129" s="332"/>
      <c r="N129" s="332"/>
      <c r="O129" s="332"/>
      <c r="P129" s="332"/>
      <c r="Q129" s="332"/>
      <c r="R129" s="332"/>
      <c r="S129" s="332"/>
      <c r="T129" s="332"/>
      <c r="U129" s="332"/>
      <c r="V129" s="332"/>
      <c r="W129" s="332"/>
      <c r="X129" s="332"/>
      <c r="Y129" s="332"/>
      <c r="Z129" s="332"/>
    </row>
    <row r="130" spans="1:26" ht="13.5" customHeight="1">
      <c r="A130" s="332"/>
      <c r="B130" s="1680" t="s">
        <v>571</v>
      </c>
      <c r="C130" s="1681"/>
      <c r="D130" s="1681"/>
      <c r="E130" s="1681"/>
      <c r="F130" s="1682"/>
      <c r="G130" s="402">
        <f>SUM(G126:G129)</f>
        <v>9.9750774610629192E-5</v>
      </c>
      <c r="H130" s="350"/>
      <c r="I130" s="332"/>
      <c r="J130" s="332"/>
      <c r="K130" s="332"/>
      <c r="L130" s="332"/>
      <c r="M130" s="332"/>
      <c r="N130" s="332"/>
      <c r="O130" s="332"/>
      <c r="P130" s="332"/>
      <c r="Q130" s="332"/>
      <c r="R130" s="332"/>
      <c r="S130" s="332"/>
      <c r="T130" s="332"/>
      <c r="U130" s="332"/>
      <c r="V130" s="332"/>
      <c r="W130" s="332"/>
      <c r="X130" s="332"/>
      <c r="Y130" s="332"/>
      <c r="Z130" s="332"/>
    </row>
    <row r="131" spans="1:26" ht="13.5" customHeight="1">
      <c r="A131" s="332"/>
      <c r="B131" s="332"/>
      <c r="C131" s="350"/>
      <c r="D131" s="350"/>
      <c r="E131" s="350"/>
      <c r="F131" s="387"/>
      <c r="G131" s="403"/>
      <c r="H131" s="350"/>
      <c r="I131" s="332"/>
      <c r="J131" s="332"/>
      <c r="K131" s="332"/>
      <c r="L131" s="332"/>
      <c r="M131" s="332"/>
      <c r="N131" s="332"/>
      <c r="O131" s="332"/>
      <c r="P131" s="332"/>
      <c r="Q131" s="332"/>
      <c r="R131" s="332"/>
      <c r="S131" s="332"/>
      <c r="T131" s="332"/>
      <c r="U131" s="332"/>
      <c r="V131" s="332"/>
      <c r="W131" s="332"/>
      <c r="X131" s="332"/>
      <c r="Y131" s="332"/>
      <c r="Z131" s="332"/>
    </row>
    <row r="132" spans="1:26" ht="12.75" customHeight="1">
      <c r="A132" s="332"/>
      <c r="B132" s="332"/>
      <c r="C132" s="332"/>
      <c r="D132" s="332"/>
      <c r="E132" s="350"/>
      <c r="F132" s="387"/>
      <c r="G132" s="403"/>
      <c r="H132" s="350"/>
      <c r="I132" s="332"/>
      <c r="J132" s="332"/>
      <c r="K132" s="332"/>
      <c r="L132" s="332"/>
      <c r="M132" s="332"/>
      <c r="N132" s="332"/>
      <c r="O132" s="332"/>
      <c r="P132" s="332"/>
      <c r="Q132" s="332"/>
      <c r="R132" s="332"/>
      <c r="S132" s="332"/>
      <c r="T132" s="332"/>
      <c r="U132" s="332"/>
      <c r="V132" s="332"/>
      <c r="W132" s="332"/>
      <c r="X132" s="332"/>
      <c r="Y132" s="332"/>
      <c r="Z132" s="332"/>
    </row>
    <row r="133" spans="1:26" ht="18.75" customHeight="1">
      <c r="A133" s="332"/>
      <c r="B133" s="348" t="s">
        <v>556</v>
      </c>
      <c r="C133" s="332"/>
      <c r="D133" s="332"/>
      <c r="E133" s="332"/>
      <c r="F133" s="332"/>
      <c r="G133" s="332"/>
      <c r="H133" s="332"/>
      <c r="I133" s="332"/>
      <c r="J133" s="332"/>
      <c r="K133" s="332"/>
      <c r="L133" s="332"/>
      <c r="M133" s="332"/>
      <c r="N133" s="332"/>
      <c r="O133" s="332"/>
      <c r="P133" s="332"/>
      <c r="Q133" s="332"/>
      <c r="R133" s="332"/>
      <c r="S133" s="332"/>
      <c r="T133" s="332"/>
      <c r="U133" s="332"/>
      <c r="V133" s="332"/>
      <c r="W133" s="332"/>
      <c r="X133" s="332"/>
      <c r="Y133" s="332"/>
      <c r="Z133" s="332"/>
    </row>
    <row r="134" spans="1:26" ht="18.75" customHeight="1">
      <c r="A134" s="332"/>
      <c r="B134" s="1665" t="s">
        <v>572</v>
      </c>
      <c r="C134" s="1660"/>
      <c r="D134" s="1660"/>
      <c r="E134" s="348">
        <v>2006</v>
      </c>
      <c r="F134" s="350"/>
      <c r="G134" s="350"/>
      <c r="H134" s="332"/>
      <c r="I134" s="332"/>
      <c r="J134" s="332"/>
      <c r="K134" s="332"/>
      <c r="L134" s="332"/>
      <c r="M134" s="332"/>
      <c r="N134" s="332"/>
      <c r="O134" s="332"/>
      <c r="P134" s="332"/>
      <c r="Q134" s="332"/>
      <c r="R134" s="332"/>
      <c r="S134" s="332"/>
      <c r="T134" s="332"/>
      <c r="U134" s="332"/>
      <c r="V134" s="332"/>
      <c r="W134" s="332"/>
      <c r="X134" s="332"/>
      <c r="Y134" s="332"/>
      <c r="Z134" s="332"/>
    </row>
    <row r="135" spans="1:26" ht="13.5" customHeight="1">
      <c r="A135" s="332"/>
      <c r="B135" s="332"/>
      <c r="C135" s="332"/>
      <c r="D135" s="332"/>
      <c r="E135" s="332"/>
      <c r="F135" s="332"/>
      <c r="G135" s="332"/>
      <c r="H135" s="332"/>
      <c r="I135" s="332"/>
      <c r="J135" s="332"/>
      <c r="K135" s="332"/>
      <c r="L135" s="332"/>
      <c r="M135" s="332"/>
      <c r="N135" s="332"/>
      <c r="O135" s="332"/>
      <c r="P135" s="332"/>
      <c r="Q135" s="332"/>
      <c r="R135" s="332"/>
      <c r="S135" s="332"/>
      <c r="T135" s="332"/>
      <c r="U135" s="332"/>
      <c r="V135" s="332"/>
      <c r="W135" s="332"/>
      <c r="X135" s="332"/>
      <c r="Y135" s="332"/>
      <c r="Z135" s="332"/>
    </row>
    <row r="136" spans="1:26" ht="13.5" customHeight="1">
      <c r="A136" s="332"/>
      <c r="B136" s="1666" t="s">
        <v>238</v>
      </c>
      <c r="C136" s="404"/>
      <c r="D136" s="390" t="s">
        <v>95</v>
      </c>
      <c r="E136" s="390" t="s">
        <v>95</v>
      </c>
      <c r="F136" s="390" t="s">
        <v>95</v>
      </c>
      <c r="G136" s="391" t="s">
        <v>95</v>
      </c>
      <c r="H136" s="332"/>
      <c r="I136" s="332"/>
      <c r="J136" s="332"/>
      <c r="K136" s="332"/>
      <c r="L136" s="332"/>
      <c r="M136" s="332"/>
      <c r="N136" s="332"/>
      <c r="O136" s="332"/>
      <c r="P136" s="332"/>
      <c r="Q136" s="332"/>
      <c r="R136" s="332"/>
      <c r="S136" s="332"/>
      <c r="T136" s="332"/>
      <c r="U136" s="332"/>
      <c r="V136" s="332"/>
      <c r="W136" s="332"/>
      <c r="X136" s="332"/>
      <c r="Y136" s="332"/>
      <c r="Z136" s="332"/>
    </row>
    <row r="137" spans="1:26" ht="14.25" customHeight="1">
      <c r="A137" s="332"/>
      <c r="B137" s="1667"/>
      <c r="C137" s="405" t="s">
        <v>68</v>
      </c>
      <c r="D137" s="406" t="s">
        <v>573</v>
      </c>
      <c r="E137" s="406" t="s">
        <v>574</v>
      </c>
      <c r="F137" s="406" t="s">
        <v>575</v>
      </c>
      <c r="G137" s="407" t="s">
        <v>152</v>
      </c>
      <c r="H137" s="332"/>
      <c r="I137" s="332"/>
      <c r="J137" s="332"/>
      <c r="K137" s="332"/>
      <c r="L137" s="332"/>
      <c r="M137" s="332"/>
      <c r="N137" s="332"/>
      <c r="O137" s="332"/>
      <c r="P137" s="332"/>
      <c r="Q137" s="332"/>
      <c r="R137" s="332"/>
      <c r="S137" s="332"/>
      <c r="T137" s="332"/>
      <c r="U137" s="332"/>
      <c r="V137" s="332"/>
      <c r="W137" s="332"/>
      <c r="X137" s="332"/>
      <c r="Y137" s="332"/>
      <c r="Z137" s="332"/>
    </row>
    <row r="138" spans="1:26" ht="15" customHeight="1">
      <c r="A138" s="332"/>
      <c r="B138" s="1668"/>
      <c r="C138" s="408" t="s">
        <v>453</v>
      </c>
      <c r="D138" s="409" t="s">
        <v>576</v>
      </c>
      <c r="E138" s="409" t="s">
        <v>577</v>
      </c>
      <c r="F138" s="409" t="s">
        <v>578</v>
      </c>
      <c r="G138" s="410" t="s">
        <v>579</v>
      </c>
      <c r="H138" s="332"/>
      <c r="I138" s="332"/>
      <c r="J138" s="332"/>
      <c r="K138" s="332"/>
      <c r="L138" s="332"/>
      <c r="M138" s="332"/>
      <c r="N138" s="332"/>
      <c r="O138" s="332"/>
      <c r="P138" s="332"/>
      <c r="Q138" s="332"/>
      <c r="R138" s="332"/>
      <c r="S138" s="332"/>
      <c r="T138" s="332"/>
      <c r="U138" s="332"/>
      <c r="V138" s="332"/>
      <c r="W138" s="332"/>
      <c r="X138" s="332"/>
      <c r="Y138" s="332"/>
      <c r="Z138" s="332"/>
    </row>
    <row r="139" spans="1:26" ht="13.5" customHeight="1">
      <c r="A139" s="332"/>
      <c r="B139" s="395" t="s">
        <v>253</v>
      </c>
      <c r="C139" s="411">
        <v>0</v>
      </c>
      <c r="D139" s="412">
        <v>0</v>
      </c>
      <c r="E139" s="413">
        <f t="shared" ref="E139:E142" si="23">G126</f>
        <v>0</v>
      </c>
      <c r="F139" s="413">
        <f t="shared" ref="F139:F142" si="24">G114</f>
        <v>0</v>
      </c>
      <c r="G139" s="414">
        <f t="shared" ref="G139:G142" si="25">D139+E139+F139</f>
        <v>0</v>
      </c>
      <c r="H139" s="332"/>
      <c r="I139" s="332"/>
      <c r="J139" s="332"/>
      <c r="K139" s="332"/>
      <c r="L139" s="332"/>
      <c r="M139" s="332"/>
      <c r="N139" s="332"/>
      <c r="O139" s="332"/>
      <c r="P139" s="332"/>
      <c r="Q139" s="332"/>
      <c r="R139" s="332"/>
      <c r="S139" s="332"/>
      <c r="T139" s="332"/>
      <c r="U139" s="332"/>
      <c r="V139" s="332"/>
      <c r="W139" s="332"/>
      <c r="X139" s="332"/>
      <c r="Y139" s="332"/>
      <c r="Z139" s="332"/>
    </row>
    <row r="140" spans="1:26" ht="13.5" customHeight="1">
      <c r="A140" s="332"/>
      <c r="B140" s="395" t="s">
        <v>457</v>
      </c>
      <c r="C140" s="411">
        <f t="shared" ref="C140:C142" si="26">C127</f>
        <v>556.60082598899999</v>
      </c>
      <c r="D140" s="412">
        <f t="shared" ref="D140:D142" si="27">I103</f>
        <v>4.0679477865658259E-2</v>
      </c>
      <c r="E140" s="413">
        <f t="shared" si="23"/>
        <v>8.8703351061907525E-5</v>
      </c>
      <c r="F140" s="413">
        <f t="shared" si="24"/>
        <v>4.6862147730819087E-5</v>
      </c>
      <c r="G140" s="414">
        <f t="shared" si="25"/>
        <v>4.0815043364450986E-2</v>
      </c>
      <c r="H140" s="332"/>
      <c r="I140" s="332"/>
      <c r="J140" s="332"/>
      <c r="K140" s="332"/>
      <c r="L140" s="332"/>
      <c r="M140" s="332"/>
      <c r="N140" s="332"/>
      <c r="O140" s="332"/>
      <c r="P140" s="332"/>
      <c r="Q140" s="332"/>
      <c r="R140" s="332"/>
      <c r="S140" s="332"/>
      <c r="T140" s="332"/>
      <c r="U140" s="332"/>
      <c r="V140" s="332"/>
      <c r="W140" s="332"/>
      <c r="X140" s="332"/>
      <c r="Y140" s="332"/>
      <c r="Z140" s="332"/>
    </row>
    <row r="141" spans="1:26" ht="13.5" customHeight="1">
      <c r="A141" s="332"/>
      <c r="B141" s="395" t="s">
        <v>458</v>
      </c>
      <c r="C141" s="411">
        <f t="shared" si="26"/>
        <v>42.122053457999996</v>
      </c>
      <c r="D141" s="412">
        <f t="shared" si="27"/>
        <v>3.3161531083718424E-3</v>
      </c>
      <c r="E141" s="413">
        <f t="shared" si="23"/>
        <v>6.7128310287618068E-6</v>
      </c>
      <c r="F141" s="413">
        <f t="shared" si="24"/>
        <v>3.5464012982137851E-6</v>
      </c>
      <c r="G141" s="414">
        <f t="shared" si="25"/>
        <v>3.3264123406988181E-3</v>
      </c>
      <c r="H141" s="332"/>
      <c r="I141" s="332"/>
      <c r="J141" s="332"/>
      <c r="K141" s="332"/>
      <c r="L141" s="332"/>
      <c r="M141" s="332"/>
      <c r="N141" s="332"/>
      <c r="O141" s="332"/>
      <c r="P141" s="332"/>
      <c r="Q141" s="332"/>
      <c r="R141" s="332"/>
      <c r="S141" s="332"/>
      <c r="T141" s="332"/>
      <c r="U141" s="332"/>
      <c r="V141" s="332"/>
      <c r="W141" s="332"/>
      <c r="X141" s="332"/>
      <c r="Y141" s="332"/>
      <c r="Z141" s="332"/>
    </row>
    <row r="142" spans="1:26" ht="13.5" customHeight="1">
      <c r="A142" s="332"/>
      <c r="B142" s="395" t="s">
        <v>399</v>
      </c>
      <c r="C142" s="411">
        <f t="shared" si="26"/>
        <v>172.26</v>
      </c>
      <c r="D142" s="412">
        <f t="shared" si="27"/>
        <v>9.1314889406167409E-3</v>
      </c>
      <c r="E142" s="413">
        <f t="shared" si="23"/>
        <v>4.3345925199598607E-6</v>
      </c>
      <c r="F142" s="413">
        <f t="shared" si="24"/>
        <v>4.5799468135424944E-6</v>
      </c>
      <c r="G142" s="414">
        <f t="shared" si="25"/>
        <v>9.1404034799502428E-3</v>
      </c>
      <c r="H142" s="332"/>
      <c r="I142" s="332"/>
      <c r="J142" s="332"/>
      <c r="K142" s="332"/>
      <c r="L142" s="332"/>
      <c r="M142" s="332"/>
      <c r="N142" s="332"/>
      <c r="O142" s="332"/>
      <c r="P142" s="332"/>
      <c r="Q142" s="332"/>
      <c r="R142" s="332"/>
      <c r="S142" s="332"/>
      <c r="T142" s="332"/>
      <c r="U142" s="332"/>
      <c r="V142" s="332"/>
      <c r="W142" s="332"/>
      <c r="X142" s="332"/>
      <c r="Y142" s="332"/>
      <c r="Z142" s="332"/>
    </row>
    <row r="143" spans="1:26" ht="13.5" customHeight="1">
      <c r="A143" s="332"/>
      <c r="B143" s="415" t="s">
        <v>152</v>
      </c>
      <c r="C143" s="416"/>
      <c r="D143" s="417">
        <f t="shared" ref="D143:F143" si="28">SUM(D139:D142)</f>
        <v>5.3127119914646845E-2</v>
      </c>
      <c r="E143" s="418">
        <f t="shared" si="28"/>
        <v>9.9750774610629192E-5</v>
      </c>
      <c r="F143" s="419">
        <f t="shared" si="28"/>
        <v>5.4988495842575369E-5</v>
      </c>
      <c r="G143" s="420">
        <f>SUM(D143:F143)</f>
        <v>5.3281859185100047E-2</v>
      </c>
      <c r="H143" s="332"/>
      <c r="I143" s="332"/>
      <c r="J143" s="332"/>
      <c r="K143" s="332"/>
      <c r="L143" s="332"/>
      <c r="M143" s="332"/>
      <c r="N143" s="332"/>
      <c r="O143" s="332"/>
      <c r="P143" s="332"/>
      <c r="Q143" s="332"/>
      <c r="R143" s="332"/>
      <c r="S143" s="332"/>
      <c r="T143" s="332"/>
      <c r="U143" s="332"/>
      <c r="V143" s="332"/>
      <c r="W143" s="332"/>
      <c r="X143" s="332"/>
      <c r="Y143" s="332"/>
      <c r="Z143" s="332"/>
    </row>
    <row r="144" spans="1:26" ht="13.5" customHeight="1">
      <c r="A144" s="332"/>
      <c r="B144" s="332"/>
      <c r="C144" s="332"/>
      <c r="D144" s="332"/>
      <c r="E144" s="332"/>
      <c r="F144" s="332"/>
      <c r="G144" s="332"/>
      <c r="H144" s="332"/>
      <c r="I144" s="332"/>
      <c r="J144" s="332"/>
      <c r="K144" s="332"/>
      <c r="L144" s="332"/>
      <c r="M144" s="332"/>
      <c r="N144" s="332"/>
      <c r="O144" s="332"/>
      <c r="P144" s="332"/>
      <c r="Q144" s="332"/>
      <c r="R144" s="332"/>
      <c r="S144" s="332"/>
      <c r="T144" s="332"/>
      <c r="U144" s="332"/>
      <c r="V144" s="332"/>
      <c r="W144" s="332"/>
      <c r="X144" s="332"/>
      <c r="Y144" s="332"/>
      <c r="Z144" s="332"/>
    </row>
    <row r="145" spans="2:10" ht="12.75" customHeight="1">
      <c r="B145" s="232"/>
      <c r="C145" s="232"/>
      <c r="D145" s="232"/>
      <c r="E145" s="232"/>
      <c r="F145" s="232"/>
      <c r="G145" s="232"/>
      <c r="H145" s="232"/>
      <c r="I145" s="232"/>
      <c r="J145" s="232"/>
    </row>
    <row r="146" spans="2:10" ht="12.75" customHeight="1">
      <c r="B146" s="232"/>
      <c r="C146" s="232"/>
      <c r="D146" s="232"/>
      <c r="E146" s="232"/>
      <c r="F146" s="232"/>
      <c r="G146" s="232"/>
      <c r="H146" s="232"/>
      <c r="I146" s="232"/>
      <c r="J146" s="232"/>
    </row>
    <row r="147" spans="2:10" ht="12.75" customHeight="1">
      <c r="B147" s="232"/>
      <c r="C147" s="232"/>
      <c r="D147" s="232"/>
      <c r="E147" s="232"/>
      <c r="F147" s="232"/>
      <c r="G147" s="232"/>
      <c r="H147" s="232"/>
      <c r="I147" s="232"/>
      <c r="J147" s="232"/>
    </row>
    <row r="148" spans="2:10" ht="12.75" customHeight="1">
      <c r="B148" s="232"/>
      <c r="C148" s="232"/>
      <c r="D148" s="232"/>
      <c r="E148" s="232"/>
      <c r="F148" s="232"/>
      <c r="G148" s="232"/>
      <c r="H148" s="232"/>
      <c r="I148" s="232"/>
      <c r="J148" s="232"/>
    </row>
    <row r="149" spans="2:10" ht="12.75" customHeight="1">
      <c r="B149" s="232"/>
      <c r="C149" s="232"/>
      <c r="D149" s="232"/>
      <c r="E149" s="232"/>
      <c r="F149" s="232"/>
      <c r="G149" s="232"/>
      <c r="H149" s="232"/>
      <c r="I149" s="232"/>
      <c r="J149" s="232"/>
    </row>
    <row r="150" spans="2:10" ht="12.75" customHeight="1">
      <c r="B150" s="232"/>
      <c r="C150" s="232"/>
      <c r="D150" s="232"/>
      <c r="E150" s="232"/>
      <c r="F150" s="232"/>
      <c r="G150" s="232"/>
      <c r="H150" s="232"/>
      <c r="I150" s="232"/>
      <c r="J150" s="232"/>
    </row>
    <row r="151" spans="2:10" ht="11.25" customHeight="1"/>
    <row r="152" spans="2:10" ht="11.25" customHeight="1"/>
    <row r="153" spans="2:10" ht="11.25" customHeight="1"/>
    <row r="154" spans="2:10" ht="11.25" customHeight="1"/>
    <row r="155" spans="2:10" ht="11.25" customHeight="1"/>
    <row r="156" spans="2:10" ht="11.25" customHeight="1"/>
    <row r="157" spans="2:10" ht="11.25" customHeight="1"/>
    <row r="158" spans="2:10" ht="11.25" customHeight="1"/>
    <row r="159" spans="2:10" ht="11.25" customHeight="1"/>
    <row r="160" spans="2:1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B48:C48"/>
    <mergeCell ref="B56:C56"/>
    <mergeCell ref="B6:C6"/>
    <mergeCell ref="B12:C12"/>
    <mergeCell ref="B19:C19"/>
    <mergeCell ref="B26:C26"/>
    <mergeCell ref="B38:C38"/>
    <mergeCell ref="I112:J112"/>
    <mergeCell ref="B134:D134"/>
    <mergeCell ref="B136:B138"/>
    <mergeCell ref="B62:C62"/>
    <mergeCell ref="F66:H66"/>
    <mergeCell ref="F77:H77"/>
    <mergeCell ref="F91:H91"/>
    <mergeCell ref="B98:D98"/>
    <mergeCell ref="B106:F106"/>
    <mergeCell ref="B110:D110"/>
    <mergeCell ref="B118:E118"/>
    <mergeCell ref="B122:D122"/>
    <mergeCell ref="B124:B125"/>
    <mergeCell ref="B130:F130"/>
    <mergeCell ref="B70:C70"/>
    <mergeCell ref="B80:C80"/>
  </mergeCells>
  <pageMargins left="0.7" right="0.7" top="0.75" bottom="0.75"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6.85546875" defaultRowHeight="15" customHeight="1"/>
  <cols>
    <col min="1" max="1" width="3" customWidth="1"/>
    <col min="2" max="2" width="64.42578125" customWidth="1"/>
    <col min="3" max="3" width="16.140625" customWidth="1"/>
    <col min="4" max="4" width="14.7109375" customWidth="1"/>
    <col min="5" max="5" width="13" customWidth="1"/>
    <col min="6" max="6" width="13.42578125" customWidth="1"/>
    <col min="7" max="7" width="15.140625" customWidth="1"/>
    <col min="8" max="8" width="13.140625" customWidth="1"/>
    <col min="9" max="9" width="15.42578125" customWidth="1"/>
    <col min="10" max="10" width="14.7109375" customWidth="1"/>
    <col min="11" max="11" width="15.140625" customWidth="1"/>
    <col min="12" max="12" width="15.85546875" customWidth="1"/>
    <col min="13" max="13" width="12.42578125" customWidth="1"/>
    <col min="14" max="14" width="12.7109375" customWidth="1"/>
    <col min="15" max="15" width="13.140625" customWidth="1"/>
    <col min="16" max="16" width="14" customWidth="1"/>
    <col min="17" max="17" width="13.140625" customWidth="1"/>
    <col min="18" max="18" width="18.42578125" customWidth="1"/>
    <col min="19" max="19" width="14.7109375" customWidth="1"/>
    <col min="20" max="20" width="14" customWidth="1"/>
    <col min="21" max="26" width="8" customWidth="1"/>
  </cols>
  <sheetData>
    <row r="1" spans="1:26" ht="33" customHeight="1">
      <c r="A1" s="17" t="s">
        <v>580</v>
      </c>
      <c r="B1" s="171"/>
      <c r="C1" s="1"/>
      <c r="D1" s="1"/>
      <c r="E1" s="1"/>
      <c r="F1" s="1"/>
      <c r="G1" s="13"/>
      <c r="H1" s="1"/>
      <c r="I1" s="1"/>
      <c r="J1" s="1"/>
      <c r="K1" s="1"/>
      <c r="L1" s="1"/>
      <c r="M1" s="1"/>
      <c r="N1" s="1"/>
      <c r="O1" s="1"/>
      <c r="P1" s="1"/>
      <c r="Q1" s="1"/>
      <c r="R1" s="1"/>
      <c r="S1" s="1"/>
      <c r="T1" s="1"/>
      <c r="U1" s="1"/>
      <c r="V1" s="1"/>
      <c r="W1" s="1"/>
      <c r="X1" s="1"/>
      <c r="Y1" s="1"/>
      <c r="Z1" s="1"/>
    </row>
    <row r="2" spans="1:26" ht="78.75" customHeight="1">
      <c r="A2" s="421"/>
      <c r="B2" s="422"/>
      <c r="C2" s="422"/>
      <c r="D2" s="422"/>
      <c r="E2" s="422"/>
      <c r="F2" s="422"/>
      <c r="G2" s="422"/>
      <c r="H2" s="422"/>
      <c r="I2" s="422"/>
      <c r="J2" s="422"/>
      <c r="K2" s="422"/>
      <c r="L2" s="422"/>
      <c r="M2" s="422"/>
      <c r="N2" s="422"/>
      <c r="O2" s="422"/>
      <c r="P2" s="422"/>
      <c r="Q2" s="232"/>
      <c r="R2" s="232"/>
      <c r="S2" s="232"/>
      <c r="T2" s="232"/>
      <c r="U2" s="232"/>
      <c r="V2" s="232"/>
      <c r="W2" s="232"/>
      <c r="X2" s="232"/>
      <c r="Y2" s="232"/>
      <c r="Z2" s="232"/>
    </row>
    <row r="3" spans="1:26" ht="12.75" customHeight="1">
      <c r="E3" s="423" t="s">
        <v>581</v>
      </c>
      <c r="F3" s="424"/>
      <c r="G3" s="424"/>
      <c r="H3" s="424"/>
    </row>
    <row r="4" spans="1:26" ht="13.5" customHeight="1">
      <c r="E4" s="425"/>
    </row>
    <row r="5" spans="1:26" ht="12.75" customHeight="1">
      <c r="B5" s="426"/>
      <c r="C5" s="427">
        <v>1991</v>
      </c>
      <c r="D5" s="427">
        <v>1992</v>
      </c>
      <c r="E5" s="427">
        <v>1993</v>
      </c>
      <c r="F5" s="427">
        <v>1994</v>
      </c>
      <c r="G5" s="427">
        <v>1995</v>
      </c>
      <c r="H5" s="427">
        <v>1996</v>
      </c>
      <c r="I5" s="427">
        <v>1997</v>
      </c>
      <c r="J5" s="427">
        <v>1998</v>
      </c>
      <c r="K5" s="428">
        <v>1999</v>
      </c>
      <c r="L5" s="429">
        <v>2000</v>
      </c>
      <c r="M5" s="429">
        <v>2001</v>
      </c>
      <c r="N5" s="429">
        <v>2002</v>
      </c>
      <c r="O5" s="429">
        <v>2003</v>
      </c>
      <c r="P5" s="429">
        <v>2004</v>
      </c>
      <c r="Q5" s="429">
        <v>2005</v>
      </c>
      <c r="R5" s="429">
        <v>2006</v>
      </c>
      <c r="S5" s="429">
        <v>2007</v>
      </c>
      <c r="T5" s="430">
        <v>2008</v>
      </c>
    </row>
    <row r="6" spans="1:26" ht="11.25" customHeight="1">
      <c r="B6" s="431"/>
      <c r="C6" s="274"/>
      <c r="D6" s="274"/>
      <c r="E6" s="274"/>
      <c r="F6" s="274"/>
      <c r="G6" s="274"/>
      <c r="H6" s="274"/>
      <c r="I6" s="274"/>
      <c r="J6" s="274"/>
      <c r="K6" s="432"/>
      <c r="L6" s="433"/>
      <c r="M6" s="433"/>
      <c r="N6" s="433"/>
      <c r="O6" s="433"/>
      <c r="P6" s="433"/>
      <c r="Q6" s="433"/>
      <c r="R6" s="433"/>
      <c r="S6" s="433"/>
      <c r="T6" s="434"/>
    </row>
    <row r="7" spans="1:26" ht="12.75" customHeight="1">
      <c r="B7" s="435" t="s">
        <v>582</v>
      </c>
      <c r="C7" s="436"/>
      <c r="D7" s="437"/>
      <c r="E7" s="437"/>
      <c r="F7" s="437"/>
      <c r="G7" s="437"/>
      <c r="H7" s="437"/>
      <c r="I7" s="437"/>
      <c r="J7" s="437"/>
      <c r="K7" s="438"/>
      <c r="L7" s="439">
        <v>11420038</v>
      </c>
      <c r="M7" s="440">
        <v>11135140</v>
      </c>
      <c r="N7" s="440">
        <v>11364983</v>
      </c>
      <c r="O7" s="440">
        <v>11852129</v>
      </c>
      <c r="P7" s="440">
        <v>11608446</v>
      </c>
      <c r="Q7" s="440">
        <v>11745248.199999999</v>
      </c>
      <c r="R7" s="440">
        <v>11687602.6</v>
      </c>
      <c r="S7" s="440">
        <v>11937518</v>
      </c>
      <c r="T7" s="441">
        <v>11098391</v>
      </c>
    </row>
    <row r="8" spans="1:26" ht="12.75" customHeight="1">
      <c r="B8" s="435" t="s">
        <v>583</v>
      </c>
      <c r="C8" s="436"/>
      <c r="D8" s="437"/>
      <c r="E8" s="437"/>
      <c r="F8" s="437"/>
      <c r="G8" s="437"/>
      <c r="H8" s="437"/>
      <c r="I8" s="437"/>
      <c r="J8" s="437"/>
      <c r="K8" s="438"/>
      <c r="L8" s="439">
        <v>4143417</v>
      </c>
      <c r="M8" s="440">
        <v>5514960</v>
      </c>
      <c r="N8" s="440">
        <v>4108104</v>
      </c>
      <c r="O8" s="440">
        <v>6164252</v>
      </c>
      <c r="P8" s="440">
        <v>5672819.25</v>
      </c>
      <c r="Q8" s="440">
        <v>6574936.7400000002</v>
      </c>
      <c r="R8" s="440">
        <v>1050222.03</v>
      </c>
      <c r="S8" s="440">
        <v>1790746</v>
      </c>
      <c r="T8" s="441">
        <v>791418</v>
      </c>
    </row>
    <row r="9" spans="1:26" ht="12.75" customHeight="1">
      <c r="B9" s="435" t="s">
        <v>584</v>
      </c>
      <c r="C9" s="436"/>
      <c r="D9" s="437"/>
      <c r="E9" s="437"/>
      <c r="F9" s="437"/>
      <c r="G9" s="437"/>
      <c r="H9" s="437"/>
      <c r="I9" s="437"/>
      <c r="J9" s="437"/>
      <c r="K9" s="438"/>
      <c r="L9" s="439">
        <v>29023288</v>
      </c>
      <c r="M9" s="440">
        <v>17985486</v>
      </c>
      <c r="N9" s="440">
        <v>22627073</v>
      </c>
      <c r="O9" s="440">
        <v>11162538</v>
      </c>
      <c r="P9" s="440">
        <v>9994238.0399999991</v>
      </c>
      <c r="Q9" s="440">
        <v>18619350</v>
      </c>
      <c r="R9" s="440">
        <v>16620796.5</v>
      </c>
      <c r="S9" s="440">
        <v>21481869</v>
      </c>
      <c r="T9" s="441">
        <v>17563616</v>
      </c>
    </row>
    <row r="10" spans="1:26" ht="13.5" customHeight="1">
      <c r="B10" s="442" t="s">
        <v>585</v>
      </c>
      <c r="C10" s="443"/>
      <c r="D10" s="444"/>
      <c r="E10" s="444"/>
      <c r="F10" s="444"/>
      <c r="G10" s="444"/>
      <c r="H10" s="444"/>
      <c r="I10" s="444"/>
      <c r="J10" s="444"/>
      <c r="K10" s="445"/>
      <c r="L10" s="446">
        <v>758</v>
      </c>
      <c r="M10" s="447">
        <v>7537</v>
      </c>
      <c r="N10" s="447">
        <v>9278</v>
      </c>
      <c r="O10" s="447">
        <v>6717</v>
      </c>
      <c r="P10" s="447">
        <v>5127.03</v>
      </c>
      <c r="Q10" s="447">
        <v>4266.24</v>
      </c>
      <c r="R10" s="447">
        <v>4141.3100000000004</v>
      </c>
      <c r="S10" s="447">
        <v>4703.42</v>
      </c>
      <c r="T10" s="448">
        <v>4194.0200000000004</v>
      </c>
    </row>
    <row r="11" spans="1:26" ht="12.75" customHeight="1">
      <c r="E11" s="425"/>
    </row>
    <row r="12" spans="1:26" ht="11.25" customHeight="1"/>
    <row r="13" spans="1:26" ht="11.25" customHeight="1"/>
    <row r="14" spans="1:26" ht="12.75" customHeight="1">
      <c r="C14" s="449" t="s">
        <v>586</v>
      </c>
      <c r="D14" s="450"/>
      <c r="E14" s="450"/>
      <c r="F14" s="450"/>
      <c r="G14" s="450"/>
      <c r="H14" s="450"/>
      <c r="I14" s="450"/>
    </row>
    <row r="15" spans="1:26" ht="13.5" customHeight="1">
      <c r="C15" s="449"/>
      <c r="D15" s="450"/>
      <c r="E15" s="450"/>
      <c r="F15" s="450"/>
      <c r="G15" s="450"/>
      <c r="H15" s="450"/>
      <c r="I15" s="450"/>
    </row>
    <row r="16" spans="1:26" ht="12.75" customHeight="1">
      <c r="B16" s="426"/>
      <c r="C16" s="427">
        <v>1991</v>
      </c>
      <c r="D16" s="427">
        <v>1992</v>
      </c>
      <c r="E16" s="427">
        <v>1993</v>
      </c>
      <c r="F16" s="427">
        <v>1994</v>
      </c>
      <c r="G16" s="427">
        <v>1995</v>
      </c>
      <c r="H16" s="427">
        <v>1996</v>
      </c>
      <c r="I16" s="427">
        <v>1997</v>
      </c>
      <c r="J16" s="427">
        <v>1998</v>
      </c>
      <c r="K16" s="427">
        <v>1999</v>
      </c>
      <c r="L16" s="427">
        <v>2000</v>
      </c>
      <c r="M16" s="427">
        <v>2001</v>
      </c>
      <c r="N16" s="427">
        <v>2002</v>
      </c>
      <c r="O16" s="427">
        <v>2003</v>
      </c>
      <c r="P16" s="427">
        <v>2004</v>
      </c>
      <c r="Q16" s="427">
        <v>2005</v>
      </c>
      <c r="R16" s="427">
        <v>2006</v>
      </c>
      <c r="S16" s="427">
        <v>2007</v>
      </c>
      <c r="T16" s="451">
        <v>2008</v>
      </c>
    </row>
    <row r="17" spans="2:20" ht="12.75" customHeight="1">
      <c r="B17" s="431" t="s">
        <v>253</v>
      </c>
      <c r="C17" s="437">
        <v>22835671</v>
      </c>
      <c r="D17" s="437">
        <v>23850470</v>
      </c>
      <c r="E17" s="437">
        <v>25126979</v>
      </c>
      <c r="F17" s="452">
        <v>25624758</v>
      </c>
      <c r="G17" s="452">
        <v>27595256</v>
      </c>
      <c r="H17" s="452">
        <v>27992005</v>
      </c>
      <c r="I17" s="452">
        <v>27620925</v>
      </c>
      <c r="J17" s="452">
        <v>29294727</v>
      </c>
      <c r="K17" s="452">
        <v>29687655</v>
      </c>
      <c r="L17" s="452">
        <v>29451065</v>
      </c>
      <c r="M17" s="452">
        <v>28379409</v>
      </c>
      <c r="N17" s="452">
        <v>28712053</v>
      </c>
      <c r="O17" s="452">
        <v>29939086</v>
      </c>
      <c r="P17" s="452">
        <v>29195458</v>
      </c>
      <c r="Q17" s="452">
        <v>29302792</v>
      </c>
      <c r="R17" s="452">
        <v>29408022</v>
      </c>
      <c r="S17" s="452">
        <v>29699186</v>
      </c>
      <c r="T17" s="453">
        <v>27218239</v>
      </c>
    </row>
    <row r="18" spans="2:20" ht="12.75" customHeight="1">
      <c r="B18" s="431" t="s">
        <v>448</v>
      </c>
      <c r="C18" s="437">
        <v>4078506</v>
      </c>
      <c r="D18" s="437">
        <v>2749511</v>
      </c>
      <c r="E18" s="437">
        <v>4164790</v>
      </c>
      <c r="F18" s="452">
        <v>4275226</v>
      </c>
      <c r="G18" s="452">
        <v>1479469</v>
      </c>
      <c r="H18" s="452">
        <v>1472027</v>
      </c>
      <c r="I18" s="452">
        <v>1565010</v>
      </c>
      <c r="J18" s="452">
        <v>3454350</v>
      </c>
      <c r="K18" s="452">
        <v>4290788</v>
      </c>
      <c r="L18" s="452">
        <v>2388595</v>
      </c>
      <c r="M18" s="452">
        <v>3021639</v>
      </c>
      <c r="N18" s="452">
        <v>2282432</v>
      </c>
      <c r="O18" s="452">
        <v>3572183</v>
      </c>
      <c r="P18" s="452">
        <v>3296842</v>
      </c>
      <c r="Q18" s="452">
        <v>3805569</v>
      </c>
      <c r="R18" s="452">
        <v>580726</v>
      </c>
      <c r="S18" s="452">
        <v>984831</v>
      </c>
      <c r="T18" s="453">
        <v>405840</v>
      </c>
    </row>
    <row r="19" spans="2:20" ht="12.75" customHeight="1">
      <c r="B19" s="431" t="s">
        <v>399</v>
      </c>
      <c r="C19" s="437">
        <v>1517463</v>
      </c>
      <c r="D19" s="437">
        <v>1077542</v>
      </c>
      <c r="E19" s="437">
        <v>772304</v>
      </c>
      <c r="F19" s="452">
        <v>1172042</v>
      </c>
      <c r="G19" s="452">
        <v>1548884</v>
      </c>
      <c r="H19" s="452">
        <v>987627</v>
      </c>
      <c r="I19" s="452">
        <v>1412585</v>
      </c>
      <c r="J19" s="452">
        <v>1990596</v>
      </c>
      <c r="K19" s="452">
        <v>2125193</v>
      </c>
      <c r="L19" s="452">
        <v>2852876</v>
      </c>
      <c r="M19" s="452">
        <v>1760812</v>
      </c>
      <c r="N19" s="452">
        <v>2214431</v>
      </c>
      <c r="O19" s="452">
        <v>1195642</v>
      </c>
      <c r="P19" s="452">
        <v>1183301</v>
      </c>
      <c r="Q19" s="452">
        <v>1886986</v>
      </c>
      <c r="R19" s="452">
        <v>1770206</v>
      </c>
      <c r="S19" s="452">
        <v>2240927</v>
      </c>
      <c r="T19" s="453">
        <v>1848147</v>
      </c>
    </row>
    <row r="20" spans="2:20" ht="12.75" customHeight="1">
      <c r="B20" s="431" t="s">
        <v>587</v>
      </c>
      <c r="C20" s="437">
        <v>478704</v>
      </c>
      <c r="D20" s="437">
        <v>506572</v>
      </c>
      <c r="E20" s="437">
        <v>475788</v>
      </c>
      <c r="F20" s="452">
        <v>501762</v>
      </c>
      <c r="G20" s="452">
        <v>685721</v>
      </c>
      <c r="H20" s="452">
        <v>539335</v>
      </c>
      <c r="I20" s="452">
        <v>564036</v>
      </c>
      <c r="J20" s="452">
        <v>82316</v>
      </c>
      <c r="K20" s="452">
        <v>59891</v>
      </c>
      <c r="L20" s="452">
        <v>74572</v>
      </c>
      <c r="M20" s="452">
        <v>439980</v>
      </c>
      <c r="N20" s="452">
        <v>504513</v>
      </c>
      <c r="O20" s="452">
        <v>325355</v>
      </c>
      <c r="P20" s="452">
        <v>411565</v>
      </c>
      <c r="Q20" s="452">
        <v>342466</v>
      </c>
      <c r="R20" s="452">
        <v>332444</v>
      </c>
      <c r="S20" s="452">
        <v>377560</v>
      </c>
      <c r="T20" s="453">
        <v>337823</v>
      </c>
    </row>
    <row r="21" spans="2:20" ht="12.75" customHeight="1">
      <c r="B21" s="431" t="s">
        <v>588</v>
      </c>
      <c r="C21" s="437">
        <v>9036100</v>
      </c>
      <c r="D21" s="437">
        <v>10663950</v>
      </c>
      <c r="E21" s="437">
        <v>12300816</v>
      </c>
      <c r="F21" s="452">
        <v>11235408</v>
      </c>
      <c r="G21" s="452">
        <v>12937971</v>
      </c>
      <c r="H21" s="452">
        <v>12092768</v>
      </c>
      <c r="I21" s="452">
        <v>13212967</v>
      </c>
      <c r="J21" s="452">
        <v>13330598</v>
      </c>
      <c r="K21" s="452">
        <v>13312335</v>
      </c>
      <c r="L21" s="452">
        <v>13827243</v>
      </c>
      <c r="M21" s="452">
        <v>13656267</v>
      </c>
      <c r="N21" s="452">
        <v>12128005</v>
      </c>
      <c r="O21" s="452">
        <v>13690713</v>
      </c>
      <c r="P21" s="452">
        <v>14580260</v>
      </c>
      <c r="Q21" s="452">
        <v>14703221</v>
      </c>
      <c r="R21" s="452">
        <v>13830411</v>
      </c>
      <c r="S21" s="452">
        <v>14353192</v>
      </c>
      <c r="T21" s="453">
        <v>14678695</v>
      </c>
    </row>
    <row r="22" spans="2:20" ht="12.75" customHeight="1">
      <c r="B22" s="431" t="s">
        <v>589</v>
      </c>
      <c r="C22" s="437">
        <v>1407287</v>
      </c>
      <c r="D22" s="437">
        <v>1824659</v>
      </c>
      <c r="E22" s="437">
        <v>1658271</v>
      </c>
      <c r="F22" s="452">
        <v>2009536</v>
      </c>
      <c r="G22" s="452">
        <v>1442006</v>
      </c>
      <c r="H22" s="452">
        <v>2457463</v>
      </c>
      <c r="I22" s="452">
        <v>1588375</v>
      </c>
      <c r="J22" s="452">
        <v>1739737</v>
      </c>
      <c r="K22" s="452">
        <v>1424197</v>
      </c>
      <c r="L22" s="452">
        <v>1732619</v>
      </c>
      <c r="M22" s="452">
        <v>1183518</v>
      </c>
      <c r="N22" s="452">
        <v>1660989</v>
      </c>
      <c r="O22" s="452">
        <v>2646984</v>
      </c>
      <c r="P22" s="452">
        <v>2507521</v>
      </c>
      <c r="Q22" s="452">
        <v>1703639</v>
      </c>
      <c r="R22" s="452">
        <v>2104275</v>
      </c>
      <c r="S22" s="452">
        <v>1652216</v>
      </c>
      <c r="T22" s="453">
        <v>1974078</v>
      </c>
    </row>
    <row r="23" spans="2:20" ht="12.75" customHeight="1">
      <c r="B23" s="431" t="s">
        <v>590</v>
      </c>
      <c r="C23" s="437">
        <v>160602</v>
      </c>
      <c r="D23" s="437">
        <v>174801</v>
      </c>
      <c r="E23" s="437">
        <v>175122</v>
      </c>
      <c r="F23" s="452">
        <v>168822</v>
      </c>
      <c r="G23" s="452">
        <v>175144</v>
      </c>
      <c r="H23" s="452">
        <v>167554</v>
      </c>
      <c r="I23" s="452">
        <v>155906</v>
      </c>
      <c r="J23" s="452">
        <v>155647</v>
      </c>
      <c r="K23" s="452">
        <v>171088</v>
      </c>
      <c r="L23" s="452">
        <v>179580</v>
      </c>
      <c r="M23" s="452">
        <v>11939</v>
      </c>
      <c r="N23" s="452">
        <v>182904</v>
      </c>
      <c r="O23" s="452">
        <v>225240</v>
      </c>
      <c r="P23" s="452">
        <v>192384</v>
      </c>
      <c r="Q23" s="452">
        <v>205985</v>
      </c>
      <c r="R23" s="452">
        <v>218066</v>
      </c>
      <c r="S23" s="452">
        <v>203097</v>
      </c>
      <c r="T23" s="453">
        <v>197704</v>
      </c>
    </row>
    <row r="24" spans="2:20" ht="12.75" customHeight="1">
      <c r="B24" s="431" t="s">
        <v>591</v>
      </c>
      <c r="C24" s="437">
        <v>336551</v>
      </c>
      <c r="D24" s="437">
        <v>329854</v>
      </c>
      <c r="E24" s="437">
        <v>303818</v>
      </c>
      <c r="F24" s="452">
        <v>352064</v>
      </c>
      <c r="G24" s="452">
        <v>501192</v>
      </c>
      <c r="H24" s="452">
        <v>565838</v>
      </c>
      <c r="I24" s="452">
        <v>587592</v>
      </c>
      <c r="J24" s="452">
        <v>605046</v>
      </c>
      <c r="K24" s="452">
        <v>614474</v>
      </c>
      <c r="L24" s="452">
        <v>638830</v>
      </c>
      <c r="M24" s="452">
        <v>361076</v>
      </c>
      <c r="N24" s="452">
        <v>338727</v>
      </c>
      <c r="O24" s="452">
        <v>370811</v>
      </c>
      <c r="P24" s="452">
        <v>396824</v>
      </c>
      <c r="Q24" s="452">
        <v>417380</v>
      </c>
      <c r="R24" s="452">
        <v>408095</v>
      </c>
      <c r="S24" s="452">
        <v>400364</v>
      </c>
      <c r="T24" s="453">
        <v>414781</v>
      </c>
    </row>
    <row r="25" spans="2:20" ht="13.5" customHeight="1">
      <c r="B25" s="454" t="s">
        <v>592</v>
      </c>
      <c r="C25" s="455"/>
      <c r="D25" s="455"/>
      <c r="E25" s="455"/>
      <c r="F25" s="455"/>
      <c r="G25" s="455"/>
      <c r="H25" s="455"/>
      <c r="I25" s="455"/>
      <c r="J25" s="455"/>
      <c r="K25" s="455"/>
      <c r="L25" s="455"/>
      <c r="M25" s="456">
        <v>247700</v>
      </c>
      <c r="N25" s="456">
        <v>255034</v>
      </c>
      <c r="O25" s="456">
        <v>278224</v>
      </c>
      <c r="P25" s="456">
        <v>288616</v>
      </c>
      <c r="Q25" s="456">
        <v>293561</v>
      </c>
      <c r="R25" s="456">
        <v>304635</v>
      </c>
      <c r="S25" s="456">
        <v>286550</v>
      </c>
      <c r="T25" s="457">
        <v>285645</v>
      </c>
    </row>
    <row r="26" spans="2:20" ht="13.5" customHeight="1">
      <c r="B26" s="458" t="s">
        <v>152</v>
      </c>
      <c r="C26" s="459">
        <v>39850884</v>
      </c>
      <c r="D26" s="459">
        <v>41177359</v>
      </c>
      <c r="E26" s="459">
        <v>44977888</v>
      </c>
      <c r="F26" s="460">
        <v>45339618</v>
      </c>
      <c r="G26" s="460">
        <v>46365643</v>
      </c>
      <c r="H26" s="460">
        <v>46274617</v>
      </c>
      <c r="I26" s="461">
        <v>46707396</v>
      </c>
      <c r="J26" s="460">
        <v>50653017</v>
      </c>
      <c r="K26" s="460">
        <v>51685621</v>
      </c>
      <c r="L26" s="460">
        <v>51145380</v>
      </c>
      <c r="M26" s="460">
        <v>49062340</v>
      </c>
      <c r="N26" s="460">
        <v>48279088</v>
      </c>
      <c r="O26" s="460">
        <v>52244237</v>
      </c>
      <c r="P26" s="460">
        <v>52052770</v>
      </c>
      <c r="Q26" s="460">
        <v>52661600</v>
      </c>
      <c r="R26" s="460">
        <v>48956880</v>
      </c>
      <c r="S26" s="460">
        <v>50197924</v>
      </c>
      <c r="T26" s="462">
        <v>47360953</v>
      </c>
    </row>
    <row r="27" spans="2:20" ht="11.25" customHeight="1"/>
    <row r="28" spans="2:20" ht="12.75" customHeight="1">
      <c r="C28" s="463" t="s">
        <v>593</v>
      </c>
      <c r="D28" s="464"/>
      <c r="E28" s="464"/>
      <c r="F28" s="464"/>
      <c r="G28" s="464"/>
      <c r="H28" s="464"/>
      <c r="I28" s="464"/>
    </row>
    <row r="29" spans="2:20" ht="13.5" customHeight="1">
      <c r="C29" s="463"/>
      <c r="D29" s="464"/>
      <c r="E29" s="464"/>
      <c r="F29" s="464"/>
      <c r="G29" s="464"/>
      <c r="H29" s="464"/>
      <c r="I29" s="464"/>
    </row>
    <row r="30" spans="2:20" ht="12.75" customHeight="1">
      <c r="B30" s="465"/>
      <c r="C30" s="427">
        <v>1991</v>
      </c>
      <c r="D30" s="427">
        <v>1992</v>
      </c>
      <c r="E30" s="427">
        <v>1993</v>
      </c>
      <c r="F30" s="427">
        <v>1994</v>
      </c>
      <c r="G30" s="427">
        <v>1995</v>
      </c>
      <c r="H30" s="427">
        <v>1996</v>
      </c>
      <c r="I30" s="427">
        <v>1997</v>
      </c>
      <c r="J30" s="427">
        <v>1998</v>
      </c>
      <c r="K30" s="428">
        <v>1999</v>
      </c>
      <c r="L30" s="429">
        <v>2000</v>
      </c>
      <c r="M30" s="429">
        <v>2001</v>
      </c>
      <c r="N30" s="429">
        <v>2002</v>
      </c>
      <c r="O30" s="429">
        <v>2003</v>
      </c>
      <c r="P30" s="429">
        <v>2004</v>
      </c>
      <c r="Q30" s="429">
        <v>2005</v>
      </c>
      <c r="R30" s="429">
        <v>2006</v>
      </c>
      <c r="S30" s="429">
        <v>2007</v>
      </c>
      <c r="T30" s="430">
        <v>2008</v>
      </c>
    </row>
    <row r="31" spans="2:20" ht="13.5" customHeight="1">
      <c r="B31" s="466" t="s">
        <v>594</v>
      </c>
      <c r="C31" s="467">
        <f t="shared" ref="C31:T31" si="0">C26*6.25%</f>
        <v>2490680.25</v>
      </c>
      <c r="D31" s="467">
        <f t="shared" si="0"/>
        <v>2573584.9375</v>
      </c>
      <c r="E31" s="467">
        <f t="shared" si="0"/>
        <v>2811118</v>
      </c>
      <c r="F31" s="467">
        <f t="shared" si="0"/>
        <v>2833726.125</v>
      </c>
      <c r="G31" s="467">
        <f t="shared" si="0"/>
        <v>2897852.6875</v>
      </c>
      <c r="H31" s="467">
        <f t="shared" si="0"/>
        <v>2892163.5625</v>
      </c>
      <c r="I31" s="467">
        <f t="shared" si="0"/>
        <v>2919212.25</v>
      </c>
      <c r="J31" s="467">
        <f t="shared" si="0"/>
        <v>3165813.5625</v>
      </c>
      <c r="K31" s="467">
        <f t="shared" si="0"/>
        <v>3230351.3125</v>
      </c>
      <c r="L31" s="467">
        <f t="shared" si="0"/>
        <v>3196586.25</v>
      </c>
      <c r="M31" s="467">
        <f t="shared" si="0"/>
        <v>3066396.25</v>
      </c>
      <c r="N31" s="467">
        <f t="shared" si="0"/>
        <v>3017443</v>
      </c>
      <c r="O31" s="467">
        <f t="shared" si="0"/>
        <v>3265264.8125</v>
      </c>
      <c r="P31" s="467">
        <f t="shared" si="0"/>
        <v>3253298.125</v>
      </c>
      <c r="Q31" s="467">
        <f t="shared" si="0"/>
        <v>3291350</v>
      </c>
      <c r="R31" s="467">
        <f t="shared" si="0"/>
        <v>3059805</v>
      </c>
      <c r="S31" s="467">
        <f t="shared" si="0"/>
        <v>3137370.25</v>
      </c>
      <c r="T31" s="467">
        <f t="shared" si="0"/>
        <v>2960059.5625</v>
      </c>
    </row>
    <row r="32" spans="2:20" ht="12.75" customHeight="1">
      <c r="C32" s="463"/>
      <c r="D32" s="464"/>
      <c r="E32" s="464"/>
      <c r="F32" s="464"/>
      <c r="G32" s="464"/>
      <c r="H32" s="464"/>
      <c r="I32" s="464"/>
    </row>
    <row r="33" spans="2:20" ht="11.25" customHeight="1"/>
    <row r="34" spans="2:20" ht="12.75" customHeight="1">
      <c r="C34" s="1683" t="s">
        <v>595</v>
      </c>
      <c r="D34" s="1660"/>
      <c r="E34" s="1660"/>
      <c r="F34" s="1660"/>
      <c r="G34" s="1660"/>
      <c r="H34" s="1660"/>
      <c r="I34" s="1660"/>
      <c r="J34" s="1660"/>
      <c r="K34" s="1660"/>
    </row>
    <row r="35" spans="2:20" ht="12.75" customHeight="1">
      <c r="C35" s="425"/>
      <c r="D35" s="14"/>
      <c r="E35" s="14"/>
      <c r="F35" s="14"/>
      <c r="G35" s="14"/>
      <c r="H35" s="14"/>
      <c r="I35" s="14"/>
      <c r="J35" s="14"/>
      <c r="K35" s="14"/>
    </row>
    <row r="36" spans="2:20" ht="12" customHeight="1"/>
    <row r="37" spans="2:20" ht="12.75" customHeight="1">
      <c r="B37" s="426"/>
      <c r="C37" s="427">
        <v>1991</v>
      </c>
      <c r="D37" s="427">
        <v>1992</v>
      </c>
      <c r="E37" s="427">
        <v>1993</v>
      </c>
      <c r="F37" s="427">
        <v>1994</v>
      </c>
      <c r="G37" s="427">
        <v>1995</v>
      </c>
      <c r="H37" s="427">
        <v>1996</v>
      </c>
      <c r="I37" s="427">
        <v>1997</v>
      </c>
      <c r="J37" s="427">
        <v>1998</v>
      </c>
      <c r="K37" s="428">
        <v>1999</v>
      </c>
      <c r="L37" s="429">
        <v>2000</v>
      </c>
      <c r="M37" s="429">
        <v>2001</v>
      </c>
      <c r="N37" s="429">
        <v>2002</v>
      </c>
      <c r="O37" s="429">
        <v>2003</v>
      </c>
      <c r="P37" s="429">
        <v>2004</v>
      </c>
      <c r="Q37" s="429">
        <v>2005</v>
      </c>
      <c r="R37" s="429">
        <v>2006</v>
      </c>
      <c r="S37" s="429">
        <v>2007</v>
      </c>
      <c r="T37" s="430">
        <v>2008</v>
      </c>
    </row>
    <row r="38" spans="2:20" ht="13.5" customHeight="1">
      <c r="B38" s="468" t="s">
        <v>596</v>
      </c>
      <c r="C38" s="469">
        <f t="shared" ref="C38:T38" si="1">C26-C31</f>
        <v>37360203.75</v>
      </c>
      <c r="D38" s="469">
        <f t="shared" si="1"/>
        <v>38603774.0625</v>
      </c>
      <c r="E38" s="469">
        <f t="shared" si="1"/>
        <v>42166770</v>
      </c>
      <c r="F38" s="469">
        <f t="shared" si="1"/>
        <v>42505891.875</v>
      </c>
      <c r="G38" s="469">
        <f t="shared" si="1"/>
        <v>43467790.3125</v>
      </c>
      <c r="H38" s="469">
        <f t="shared" si="1"/>
        <v>43382453.4375</v>
      </c>
      <c r="I38" s="469">
        <f t="shared" si="1"/>
        <v>43788183.75</v>
      </c>
      <c r="J38" s="469">
        <f t="shared" si="1"/>
        <v>47487203.4375</v>
      </c>
      <c r="K38" s="469">
        <f t="shared" si="1"/>
        <v>48455269.6875</v>
      </c>
      <c r="L38" s="469">
        <f t="shared" si="1"/>
        <v>47948793.75</v>
      </c>
      <c r="M38" s="469">
        <f t="shared" si="1"/>
        <v>45995943.75</v>
      </c>
      <c r="N38" s="469">
        <f t="shared" si="1"/>
        <v>45261645</v>
      </c>
      <c r="O38" s="469">
        <f t="shared" si="1"/>
        <v>48978972.1875</v>
      </c>
      <c r="P38" s="469">
        <f t="shared" si="1"/>
        <v>48799471.875</v>
      </c>
      <c r="Q38" s="469">
        <f t="shared" si="1"/>
        <v>49370250</v>
      </c>
      <c r="R38" s="469">
        <f t="shared" si="1"/>
        <v>45897075</v>
      </c>
      <c r="S38" s="469">
        <f t="shared" si="1"/>
        <v>47060553.75</v>
      </c>
      <c r="T38" s="469">
        <f t="shared" si="1"/>
        <v>44400893.4375</v>
      </c>
    </row>
    <row r="39" spans="2:20" ht="11.25" customHeight="1"/>
    <row r="40" spans="2:20" ht="11.25" customHeight="1"/>
    <row r="41" spans="2:20" ht="12.75" customHeight="1">
      <c r="E41" s="470" t="s">
        <v>597</v>
      </c>
      <c r="F41" s="471"/>
      <c r="G41" s="471"/>
      <c r="H41" s="471"/>
      <c r="I41" s="471"/>
    </row>
    <row r="42" spans="2:20" ht="12" customHeight="1"/>
    <row r="43" spans="2:20" ht="12.75" customHeight="1">
      <c r="B43" s="426"/>
      <c r="C43" s="427">
        <v>1991</v>
      </c>
      <c r="D43" s="427">
        <v>1992</v>
      </c>
      <c r="E43" s="427">
        <v>1993</v>
      </c>
      <c r="F43" s="427">
        <v>1994</v>
      </c>
      <c r="G43" s="427">
        <v>1995</v>
      </c>
      <c r="H43" s="427">
        <v>1996</v>
      </c>
      <c r="I43" s="427">
        <v>1997</v>
      </c>
      <c r="J43" s="427">
        <v>1998</v>
      </c>
      <c r="K43" s="427">
        <v>1999</v>
      </c>
      <c r="L43" s="427">
        <v>2000</v>
      </c>
      <c r="M43" s="427">
        <v>2001</v>
      </c>
      <c r="N43" s="427">
        <v>2002</v>
      </c>
      <c r="O43" s="427">
        <v>2003</v>
      </c>
      <c r="P43" s="427">
        <v>2004</v>
      </c>
      <c r="Q43" s="427">
        <v>2005</v>
      </c>
      <c r="R43" s="427">
        <v>2006</v>
      </c>
      <c r="S43" s="427">
        <v>2007</v>
      </c>
      <c r="T43" s="451">
        <v>2008</v>
      </c>
    </row>
    <row r="44" spans="2:20" ht="11.25" customHeight="1">
      <c r="B44" s="431" t="s">
        <v>598</v>
      </c>
      <c r="C44" s="472">
        <v>20295448</v>
      </c>
      <c r="D44" s="473">
        <v>19762032</v>
      </c>
      <c r="E44" s="473">
        <v>21546122</v>
      </c>
      <c r="F44" s="473">
        <v>21666119</v>
      </c>
      <c r="G44" s="473">
        <v>22233807</v>
      </c>
      <c r="H44" s="473">
        <v>22985772</v>
      </c>
      <c r="I44" s="473">
        <v>21936662</v>
      </c>
      <c r="J44" s="473">
        <v>22406855</v>
      </c>
      <c r="K44" s="473">
        <v>23342423</v>
      </c>
      <c r="L44" s="472">
        <v>23949315</v>
      </c>
      <c r="M44" s="472">
        <v>24294096</v>
      </c>
      <c r="N44" s="472">
        <v>25489053</v>
      </c>
      <c r="O44" s="472">
        <v>26671274</v>
      </c>
      <c r="P44" s="472">
        <v>27951978</v>
      </c>
      <c r="Q44" s="472">
        <v>28439645</v>
      </c>
      <c r="R44" s="472">
        <v>26905386</v>
      </c>
      <c r="S44" s="437">
        <v>28194802</v>
      </c>
      <c r="T44" s="474">
        <v>27144255</v>
      </c>
    </row>
    <row r="45" spans="2:20" ht="11.25" customHeight="1">
      <c r="B45" s="431" t="s">
        <v>599</v>
      </c>
      <c r="C45" s="472">
        <v>10667414</v>
      </c>
      <c r="D45" s="472">
        <v>10769686</v>
      </c>
      <c r="E45" s="472">
        <v>11316964</v>
      </c>
      <c r="F45" s="472">
        <v>13253588</v>
      </c>
      <c r="G45" s="472">
        <v>23096405</v>
      </c>
      <c r="H45" s="472">
        <v>23126094</v>
      </c>
      <c r="I45" s="472">
        <v>23418552</v>
      </c>
      <c r="J45" s="472">
        <v>24284167</v>
      </c>
      <c r="K45" s="472">
        <v>24988489</v>
      </c>
      <c r="L45" s="472">
        <v>25804298</v>
      </c>
      <c r="M45" s="472">
        <v>26243614</v>
      </c>
      <c r="N45" s="472">
        <v>21044289</v>
      </c>
      <c r="O45" s="472">
        <v>16950347</v>
      </c>
      <c r="P45" s="472">
        <v>17264135</v>
      </c>
      <c r="Q45" s="472">
        <v>17931771</v>
      </c>
      <c r="R45" s="472">
        <v>29729030</v>
      </c>
      <c r="S45" s="437">
        <v>30691159</v>
      </c>
      <c r="T45" s="474">
        <v>30002993</v>
      </c>
    </row>
    <row r="46" spans="2:20" ht="11.25" customHeight="1">
      <c r="B46" s="431" t="s">
        <v>600</v>
      </c>
      <c r="C46" s="472">
        <v>19448114</v>
      </c>
      <c r="D46" s="472">
        <v>19768026</v>
      </c>
      <c r="E46" s="472">
        <v>20200630</v>
      </c>
      <c r="F46" s="472">
        <v>19037490</v>
      </c>
      <c r="G46" s="472">
        <v>10057219</v>
      </c>
      <c r="H46" s="472">
        <v>10098447</v>
      </c>
      <c r="I46" s="472">
        <v>10127852</v>
      </c>
      <c r="J46" s="472">
        <v>10343675</v>
      </c>
      <c r="K46" s="472">
        <v>9936115</v>
      </c>
      <c r="L46" s="472">
        <v>10066312</v>
      </c>
      <c r="M46" s="472">
        <v>10176724</v>
      </c>
      <c r="N46" s="472">
        <v>20874507</v>
      </c>
      <c r="O46" s="472">
        <v>27175526</v>
      </c>
      <c r="P46" s="472">
        <v>21194572</v>
      </c>
      <c r="Q46" s="472">
        <v>21516638</v>
      </c>
      <c r="R46" s="472">
        <v>6057030</v>
      </c>
      <c r="S46" s="437">
        <v>5980358</v>
      </c>
      <c r="T46" s="474">
        <v>5649943</v>
      </c>
    </row>
    <row r="47" spans="2:20" ht="11.25" customHeight="1">
      <c r="B47" s="431" t="s">
        <v>601</v>
      </c>
      <c r="C47" s="472">
        <v>0</v>
      </c>
      <c r="D47" s="472">
        <v>0</v>
      </c>
      <c r="E47" s="472">
        <v>0</v>
      </c>
      <c r="F47" s="472">
        <v>0</v>
      </c>
      <c r="G47" s="472">
        <v>0</v>
      </c>
      <c r="H47" s="472">
        <v>0</v>
      </c>
      <c r="I47" s="472">
        <v>0</v>
      </c>
      <c r="J47" s="472">
        <v>0</v>
      </c>
      <c r="K47" s="472">
        <v>0</v>
      </c>
      <c r="L47" s="472">
        <v>0</v>
      </c>
      <c r="M47" s="472">
        <v>0</v>
      </c>
      <c r="N47" s="472">
        <v>0</v>
      </c>
      <c r="O47" s="472">
        <v>461436</v>
      </c>
      <c r="P47" s="472">
        <v>481015</v>
      </c>
      <c r="Q47" s="472">
        <v>477331</v>
      </c>
      <c r="R47" s="472">
        <v>481697</v>
      </c>
      <c r="S47" s="437">
        <v>524341</v>
      </c>
      <c r="T47" s="474">
        <v>528586</v>
      </c>
    </row>
    <row r="48" spans="2:20" ht="12" customHeight="1">
      <c r="B48" s="454" t="s">
        <v>602</v>
      </c>
      <c r="C48" s="475">
        <v>696831</v>
      </c>
      <c r="D48" s="475">
        <v>689042</v>
      </c>
      <c r="E48" s="475">
        <v>808686</v>
      </c>
      <c r="F48" s="475">
        <v>794428</v>
      </c>
      <c r="G48" s="475">
        <v>770615</v>
      </c>
      <c r="H48" s="475">
        <v>787207</v>
      </c>
      <c r="I48" s="475">
        <v>781420</v>
      </c>
      <c r="J48" s="475">
        <v>798935</v>
      </c>
      <c r="K48" s="475">
        <v>819198</v>
      </c>
      <c r="L48" s="475">
        <v>857876</v>
      </c>
      <c r="M48" s="475">
        <v>925586</v>
      </c>
      <c r="N48" s="475">
        <v>972057</v>
      </c>
      <c r="O48" s="475">
        <v>0</v>
      </c>
      <c r="P48" s="475">
        <v>0</v>
      </c>
      <c r="Q48" s="475">
        <v>0</v>
      </c>
      <c r="R48" s="475">
        <v>0</v>
      </c>
      <c r="S48" s="476">
        <v>0</v>
      </c>
      <c r="T48" s="477">
        <v>0</v>
      </c>
    </row>
    <row r="49" spans="2:20" ht="13.5" customHeight="1">
      <c r="B49" s="478" t="s">
        <v>603</v>
      </c>
      <c r="C49" s="479">
        <v>51107809</v>
      </c>
      <c r="D49" s="480">
        <v>50988788</v>
      </c>
      <c r="E49" s="480">
        <v>53872404</v>
      </c>
      <c r="F49" s="480">
        <v>54751623</v>
      </c>
      <c r="G49" s="480">
        <v>56158046</v>
      </c>
      <c r="H49" s="480">
        <v>56997520</v>
      </c>
      <c r="I49" s="480">
        <v>56264486</v>
      </c>
      <c r="J49" s="480">
        <v>57833638</v>
      </c>
      <c r="K49" s="480">
        <v>59086225</v>
      </c>
      <c r="L49" s="479">
        <f t="shared" ref="L49:T49" si="2">SUM(L44:L48)</f>
        <v>60677801</v>
      </c>
      <c r="M49" s="479">
        <f t="shared" si="2"/>
        <v>61640020</v>
      </c>
      <c r="N49" s="479">
        <f t="shared" si="2"/>
        <v>68379906</v>
      </c>
      <c r="O49" s="479">
        <f t="shared" si="2"/>
        <v>71258583</v>
      </c>
      <c r="P49" s="479">
        <f t="shared" si="2"/>
        <v>66891700</v>
      </c>
      <c r="Q49" s="479">
        <f t="shared" si="2"/>
        <v>68365385</v>
      </c>
      <c r="R49" s="479">
        <f t="shared" si="2"/>
        <v>63173143</v>
      </c>
      <c r="S49" s="481">
        <f t="shared" si="2"/>
        <v>65390660</v>
      </c>
      <c r="T49" s="482">
        <f t="shared" si="2"/>
        <v>63325777</v>
      </c>
    </row>
    <row r="50" spans="2:20" ht="13.5" customHeight="1">
      <c r="B50" s="478" t="s">
        <v>604</v>
      </c>
      <c r="C50" s="479">
        <f t="shared" ref="C50:T50" si="3">C49*1.0625</f>
        <v>54302047.0625</v>
      </c>
      <c r="D50" s="479">
        <f t="shared" si="3"/>
        <v>54175587.25</v>
      </c>
      <c r="E50" s="479">
        <f t="shared" si="3"/>
        <v>57239429.25</v>
      </c>
      <c r="F50" s="479">
        <f t="shared" si="3"/>
        <v>58173599.4375</v>
      </c>
      <c r="G50" s="479">
        <f t="shared" si="3"/>
        <v>59667923.875</v>
      </c>
      <c r="H50" s="479">
        <f t="shared" si="3"/>
        <v>60559865</v>
      </c>
      <c r="I50" s="479">
        <f t="shared" si="3"/>
        <v>59781016.375</v>
      </c>
      <c r="J50" s="479">
        <f t="shared" si="3"/>
        <v>61448240.375</v>
      </c>
      <c r="K50" s="479">
        <f t="shared" si="3"/>
        <v>62779114.0625</v>
      </c>
      <c r="L50" s="479">
        <f t="shared" si="3"/>
        <v>64470163.5625</v>
      </c>
      <c r="M50" s="479">
        <f t="shared" si="3"/>
        <v>65492521.25</v>
      </c>
      <c r="N50" s="479">
        <f t="shared" si="3"/>
        <v>72653650.125</v>
      </c>
      <c r="O50" s="479">
        <f t="shared" si="3"/>
        <v>75712244.4375</v>
      </c>
      <c r="P50" s="479">
        <f t="shared" si="3"/>
        <v>71072431.25</v>
      </c>
      <c r="Q50" s="479">
        <f t="shared" si="3"/>
        <v>72638221.5625</v>
      </c>
      <c r="R50" s="479">
        <f t="shared" si="3"/>
        <v>67121464.4375</v>
      </c>
      <c r="S50" s="479">
        <f t="shared" si="3"/>
        <v>69477576.25</v>
      </c>
      <c r="T50" s="479">
        <f t="shared" si="3"/>
        <v>67283638.0625</v>
      </c>
    </row>
    <row r="51" spans="2:20" ht="11.25" customHeight="1">
      <c r="C51" s="201"/>
    </row>
    <row r="52" spans="2:20" ht="11.25" customHeight="1"/>
    <row r="53" spans="2:20" ht="11.25" customHeight="1"/>
    <row r="54" spans="2:20" ht="12.75" customHeight="1">
      <c r="E54" s="1683" t="s">
        <v>605</v>
      </c>
      <c r="F54" s="1660"/>
      <c r="G54" s="1660"/>
      <c r="H54" s="1660"/>
      <c r="I54" s="1660"/>
      <c r="J54" s="1660"/>
    </row>
    <row r="55" spans="2:20" ht="12" customHeight="1"/>
    <row r="56" spans="2:20" ht="12.75" customHeight="1">
      <c r="B56" s="426"/>
      <c r="C56" s="427">
        <v>1991</v>
      </c>
      <c r="D56" s="427">
        <v>1992</v>
      </c>
      <c r="E56" s="427">
        <v>1993</v>
      </c>
      <c r="F56" s="427">
        <v>1994</v>
      </c>
      <c r="G56" s="427">
        <v>1995</v>
      </c>
      <c r="H56" s="427">
        <v>1996</v>
      </c>
      <c r="I56" s="427">
        <v>1997</v>
      </c>
      <c r="J56" s="427">
        <v>1998</v>
      </c>
      <c r="K56" s="427">
        <v>1999</v>
      </c>
      <c r="L56" s="427">
        <v>2000</v>
      </c>
      <c r="M56" s="427">
        <v>2001</v>
      </c>
      <c r="N56" s="427">
        <v>2002</v>
      </c>
      <c r="O56" s="427">
        <v>2003</v>
      </c>
      <c r="P56" s="427">
        <v>2004</v>
      </c>
      <c r="Q56" s="427">
        <v>2005</v>
      </c>
      <c r="R56" s="427">
        <v>2006</v>
      </c>
      <c r="S56" s="427">
        <v>2007</v>
      </c>
      <c r="T56" s="451">
        <v>2008</v>
      </c>
    </row>
    <row r="57" spans="2:20" ht="13.5" customHeight="1">
      <c r="B57" s="483" t="s">
        <v>606</v>
      </c>
      <c r="C57" s="484">
        <f t="shared" ref="C57:T57" si="4">C50-C26</f>
        <v>14451163.0625</v>
      </c>
      <c r="D57" s="484">
        <f t="shared" si="4"/>
        <v>12998228.25</v>
      </c>
      <c r="E57" s="484">
        <f t="shared" si="4"/>
        <v>12261541.25</v>
      </c>
      <c r="F57" s="484">
        <f t="shared" si="4"/>
        <v>12833981.4375</v>
      </c>
      <c r="G57" s="484">
        <f t="shared" si="4"/>
        <v>13302280.875</v>
      </c>
      <c r="H57" s="484">
        <f t="shared" si="4"/>
        <v>14285248</v>
      </c>
      <c r="I57" s="484">
        <f t="shared" si="4"/>
        <v>13073620.375</v>
      </c>
      <c r="J57" s="484">
        <f t="shared" si="4"/>
        <v>10795223.375</v>
      </c>
      <c r="K57" s="484">
        <f t="shared" si="4"/>
        <v>11093493.0625</v>
      </c>
      <c r="L57" s="484">
        <f t="shared" si="4"/>
        <v>13324783.5625</v>
      </c>
      <c r="M57" s="484">
        <f t="shared" si="4"/>
        <v>16430181.25</v>
      </c>
      <c r="N57" s="484">
        <f t="shared" si="4"/>
        <v>24374562.125</v>
      </c>
      <c r="O57" s="484">
        <f t="shared" si="4"/>
        <v>23468007.4375</v>
      </c>
      <c r="P57" s="484">
        <f t="shared" si="4"/>
        <v>19019661.25</v>
      </c>
      <c r="Q57" s="484">
        <f t="shared" si="4"/>
        <v>19976621.5625</v>
      </c>
      <c r="R57" s="484">
        <f t="shared" si="4"/>
        <v>18164584.4375</v>
      </c>
      <c r="S57" s="484">
        <f t="shared" si="4"/>
        <v>19279652.25</v>
      </c>
      <c r="T57" s="484">
        <f t="shared" si="4"/>
        <v>19922685.0625</v>
      </c>
    </row>
    <row r="58" spans="2:20" ht="11.25" customHeight="1"/>
    <row r="59" spans="2:20" ht="11.25" customHeight="1">
      <c r="R59" s="201"/>
    </row>
    <row r="60" spans="2:20" ht="12.75" customHeight="1">
      <c r="E60" s="425" t="s">
        <v>607</v>
      </c>
    </row>
    <row r="61" spans="2:20" ht="12.75" customHeight="1">
      <c r="E61" s="425"/>
      <c r="R61" s="201"/>
    </row>
    <row r="62" spans="2:20" ht="14.25" customHeight="1">
      <c r="B62" s="425" t="s">
        <v>608</v>
      </c>
      <c r="E62" s="425"/>
      <c r="I62" s="46" t="s">
        <v>609</v>
      </c>
      <c r="R62" s="485"/>
    </row>
    <row r="63" spans="2:20" ht="14.25" customHeight="1">
      <c r="B63" s="46" t="s">
        <v>610</v>
      </c>
      <c r="E63" s="425"/>
      <c r="I63" s="46" t="s">
        <v>444</v>
      </c>
    </row>
    <row r="64" spans="2:20" ht="12.75" customHeight="1">
      <c r="B64" s="486">
        <v>1252</v>
      </c>
      <c r="E64" s="425"/>
      <c r="I64" s="196">
        <f>(B64*R57)/2000</f>
        <v>11371029.857875001</v>
      </c>
    </row>
    <row r="65" spans="2:11" ht="12" customHeight="1">
      <c r="B65" s="183">
        <f>K74*2204.623/K70</f>
        <v>1253.1420396132953</v>
      </c>
    </row>
    <row r="66" spans="2:11" ht="13.5" customHeight="1">
      <c r="B66" s="487"/>
      <c r="C66" s="488" t="s">
        <v>253</v>
      </c>
      <c r="D66" s="489" t="s">
        <v>588</v>
      </c>
      <c r="E66" s="489" t="s">
        <v>399</v>
      </c>
      <c r="F66" s="489" t="s">
        <v>611</v>
      </c>
      <c r="G66" s="489" t="s">
        <v>612</v>
      </c>
      <c r="H66" s="489" t="s">
        <v>613</v>
      </c>
      <c r="I66" s="490" t="s">
        <v>614</v>
      </c>
      <c r="J66" s="488" t="s">
        <v>615</v>
      </c>
      <c r="K66" s="491" t="s">
        <v>152</v>
      </c>
    </row>
    <row r="67" spans="2:11" ht="11.25" customHeight="1">
      <c r="B67" s="492"/>
      <c r="C67" s="433"/>
      <c r="D67" s="14"/>
      <c r="E67" s="14"/>
      <c r="F67" s="14"/>
      <c r="G67" s="14"/>
      <c r="H67" s="14"/>
      <c r="I67" s="14"/>
      <c r="J67" s="433"/>
      <c r="K67" s="434"/>
    </row>
    <row r="68" spans="2:11" ht="13.5" customHeight="1">
      <c r="B68" s="493" t="s">
        <v>616</v>
      </c>
      <c r="C68" s="494">
        <v>57.478968906379997</v>
      </c>
      <c r="D68" s="494">
        <v>34.975470491460001</v>
      </c>
      <c r="E68" s="494">
        <v>5.1416049313599999</v>
      </c>
      <c r="F68" s="494">
        <v>0.30854740784000007</v>
      </c>
      <c r="G68" s="495">
        <v>1.1203992572399999</v>
      </c>
      <c r="H68" s="495">
        <v>0.56948828446999999</v>
      </c>
      <c r="I68" s="494">
        <v>0.11589154815</v>
      </c>
      <c r="J68" s="496">
        <v>0.15204403887999998</v>
      </c>
      <c r="K68" s="497">
        <f>SUM(C68:J68)</f>
        <v>99.862414865779996</v>
      </c>
    </row>
    <row r="69" spans="2:11" ht="11.25" customHeight="1">
      <c r="B69" s="498"/>
      <c r="C69" s="14"/>
      <c r="D69" s="14"/>
      <c r="E69" s="14"/>
      <c r="F69" s="14"/>
      <c r="G69" s="14"/>
      <c r="H69" s="14"/>
      <c r="I69" s="14"/>
      <c r="J69" s="14"/>
      <c r="K69" s="499"/>
    </row>
    <row r="70" spans="2:11" ht="11.25" customHeight="1">
      <c r="B70" s="498" t="s">
        <v>617</v>
      </c>
      <c r="C70" s="196">
        <f>(C68/100)*R57</f>
        <v>10440815.840803765</v>
      </c>
      <c r="D70" s="196">
        <f>(D68/100)*R57</f>
        <v>6353148.8698341483</v>
      </c>
      <c r="E70" s="196">
        <f>(E68/100)*R57</f>
        <v>933951.16919955111</v>
      </c>
      <c r="F70" s="196">
        <f>(F68/100)*R57</f>
        <v>56046.354426814309</v>
      </c>
      <c r="G70" s="196">
        <f>(G68/100)*R57</f>
        <v>203515.8691184826</v>
      </c>
      <c r="H70" s="196">
        <f>(H68/100)*R57</f>
        <v>103445.18029422335</v>
      </c>
      <c r="I70" s="196">
        <f>(I68/100)*R57</f>
        <v>21051.218119632718</v>
      </c>
      <c r="J70" s="196">
        <f>(J68/100)*R57</f>
        <v>27618.167824542928</v>
      </c>
      <c r="K70" s="500">
        <f>SUM(C70:J70)</f>
        <v>18139592.669621162</v>
      </c>
    </row>
    <row r="71" spans="2:11" ht="11.25" customHeight="1">
      <c r="B71" s="498"/>
      <c r="C71" s="14"/>
      <c r="D71" s="14"/>
      <c r="E71" s="14"/>
      <c r="F71" s="14"/>
      <c r="G71" s="14"/>
      <c r="H71" s="14"/>
      <c r="I71" s="14"/>
      <c r="J71" s="14"/>
      <c r="K71" s="499"/>
    </row>
    <row r="72" spans="2:11" ht="14.25" customHeight="1">
      <c r="B72" s="498" t="s">
        <v>618</v>
      </c>
      <c r="C72" s="501">
        <v>0.92714314889927729</v>
      </c>
      <c r="D72" s="502"/>
      <c r="E72" s="201">
        <v>0.56866252342279933</v>
      </c>
      <c r="F72" s="201">
        <v>0.88599531833454104</v>
      </c>
      <c r="G72" s="502"/>
      <c r="H72" s="201">
        <v>0.44810377532467283</v>
      </c>
      <c r="I72" s="502"/>
      <c r="J72" s="501">
        <v>0.12969805403896778</v>
      </c>
      <c r="K72" s="503"/>
    </row>
    <row r="73" spans="2:11" ht="11.25" customHeight="1">
      <c r="B73" s="498"/>
      <c r="C73" s="14"/>
      <c r="D73" s="14"/>
      <c r="E73" s="14"/>
      <c r="F73" s="14"/>
      <c r="G73" s="14"/>
      <c r="H73" s="14"/>
      <c r="I73" s="14"/>
      <c r="J73" s="14"/>
      <c r="K73" s="499"/>
    </row>
    <row r="74" spans="2:11" ht="14.25" customHeight="1">
      <c r="B74" s="498" t="s">
        <v>619</v>
      </c>
      <c r="C74" s="196">
        <f>C70*C72</f>
        <v>9680130.8757202588</v>
      </c>
      <c r="D74" s="502"/>
      <c r="E74" s="196">
        <f t="shared" ref="E74:F74" si="5">E70*E72</f>
        <v>531103.02863069053</v>
      </c>
      <c r="F74" s="196">
        <f t="shared" si="5"/>
        <v>49656.807631875854</v>
      </c>
      <c r="G74" s="502"/>
      <c r="H74" s="196">
        <f>H70*H72</f>
        <v>46354.17582898293</v>
      </c>
      <c r="I74" s="502"/>
      <c r="J74" s="196">
        <f>J70*J72</f>
        <v>3582.0226229648501</v>
      </c>
      <c r="K74" s="500">
        <f>SUM(C74:J74)</f>
        <v>10310826.910434773</v>
      </c>
    </row>
    <row r="75" spans="2:11" ht="11.25" customHeight="1">
      <c r="B75" s="498"/>
      <c r="C75" s="14"/>
      <c r="D75" s="14"/>
      <c r="E75" s="14"/>
      <c r="F75" s="14"/>
      <c r="G75" s="14"/>
      <c r="H75" s="14"/>
      <c r="I75" s="14"/>
      <c r="J75" s="14"/>
      <c r="K75" s="499"/>
    </row>
    <row r="76" spans="2:11" ht="14.25" customHeight="1">
      <c r="B76" s="498" t="s">
        <v>620</v>
      </c>
      <c r="C76" s="201">
        <f>C74/1000000</f>
        <v>9.6801308757202591</v>
      </c>
      <c r="D76" s="502"/>
      <c r="E76" s="201">
        <f t="shared" ref="E76:F76" si="6">E74/1000000</f>
        <v>0.53110302863069059</v>
      </c>
      <c r="F76" s="201">
        <f t="shared" si="6"/>
        <v>4.9656807631875854E-2</v>
      </c>
      <c r="G76" s="502"/>
      <c r="H76" s="201">
        <f>H74/1000000</f>
        <v>4.6354175828982928E-2</v>
      </c>
      <c r="I76" s="502"/>
      <c r="J76" s="201">
        <f t="shared" ref="J76:K76" si="7">J74/1000000</f>
        <v>3.5820226229648501E-3</v>
      </c>
      <c r="K76" s="504">
        <f t="shared" si="7"/>
        <v>10.310826910434773</v>
      </c>
    </row>
    <row r="77" spans="2:11" ht="12" customHeight="1">
      <c r="B77" s="505"/>
      <c r="C77" s="16"/>
      <c r="D77" s="16"/>
      <c r="E77" s="16"/>
      <c r="F77" s="16"/>
      <c r="G77" s="16"/>
      <c r="H77" s="16"/>
      <c r="I77" s="16"/>
      <c r="J77" s="16"/>
      <c r="K77" s="506"/>
    </row>
    <row r="78" spans="2:11" ht="11.25" customHeight="1"/>
    <row r="79" spans="2:11" ht="11.25" customHeight="1"/>
    <row r="80" spans="2:11" ht="11.25" customHeight="1"/>
    <row r="81" spans="2:20" ht="14.25" customHeight="1">
      <c r="E81" s="1683" t="s">
        <v>621</v>
      </c>
      <c r="F81" s="1660"/>
      <c r="G81" s="1660"/>
      <c r="H81" s="1660"/>
      <c r="I81" s="1660"/>
      <c r="J81" s="1660"/>
    </row>
    <row r="82" spans="2:20" ht="12" customHeight="1"/>
    <row r="83" spans="2:20" ht="12.75" customHeight="1">
      <c r="B83" s="426"/>
      <c r="C83" s="427">
        <v>1991</v>
      </c>
      <c r="D83" s="427">
        <v>1992</v>
      </c>
      <c r="E83" s="427">
        <v>1993</v>
      </c>
      <c r="F83" s="427">
        <v>1994</v>
      </c>
      <c r="G83" s="427">
        <v>1995</v>
      </c>
      <c r="H83" s="427">
        <v>1996</v>
      </c>
      <c r="I83" s="427">
        <v>1997</v>
      </c>
      <c r="J83" s="427">
        <v>1998</v>
      </c>
      <c r="K83" s="427">
        <v>1999</v>
      </c>
      <c r="L83" s="427">
        <v>2000</v>
      </c>
      <c r="M83" s="427">
        <v>2001</v>
      </c>
      <c r="N83" s="427">
        <v>2002</v>
      </c>
      <c r="O83" s="427">
        <v>2003</v>
      </c>
      <c r="P83" s="427">
        <v>2004</v>
      </c>
      <c r="Q83" s="427">
        <v>2005</v>
      </c>
      <c r="R83" s="427">
        <v>2006</v>
      </c>
      <c r="S83" s="427">
        <v>2007</v>
      </c>
      <c r="T83" s="451">
        <v>2008</v>
      </c>
    </row>
    <row r="84" spans="2:20" ht="13.5" customHeight="1">
      <c r="B84" s="507" t="s">
        <v>606</v>
      </c>
      <c r="C84" s="508">
        <f t="shared" ref="C84:Q84" si="8">(C57*$B$64/2204.62262)/1000000</f>
        <v>8.206781509957473</v>
      </c>
      <c r="D84" s="508">
        <f t="shared" si="8"/>
        <v>7.3816632476536954</v>
      </c>
      <c r="E84" s="508">
        <f t="shared" si="8"/>
        <v>6.9633004332505672</v>
      </c>
      <c r="F84" s="508">
        <f t="shared" si="8"/>
        <v>7.2883878691900561</v>
      </c>
      <c r="G84" s="508">
        <f t="shared" si="8"/>
        <v>7.5543340181731411</v>
      </c>
      <c r="H84" s="508">
        <f t="shared" si="8"/>
        <v>8.1125587362430309</v>
      </c>
      <c r="I84" s="508">
        <f t="shared" si="8"/>
        <v>7.4244782580975235</v>
      </c>
      <c r="J84" s="508">
        <f t="shared" si="8"/>
        <v>6.1305819612338004</v>
      </c>
      <c r="K84" s="508">
        <f t="shared" si="8"/>
        <v>6.2999686151501058</v>
      </c>
      <c r="L84" s="508">
        <f t="shared" si="8"/>
        <v>7.5671132414716853</v>
      </c>
      <c r="M84" s="508">
        <f t="shared" si="8"/>
        <v>9.330661283426366</v>
      </c>
      <c r="N84" s="508">
        <f t="shared" si="8"/>
        <v>13.842256494900699</v>
      </c>
      <c r="O84" s="508">
        <f t="shared" si="8"/>
        <v>13.327426220343325</v>
      </c>
      <c r="P84" s="508">
        <f t="shared" si="8"/>
        <v>10.801220884234599</v>
      </c>
      <c r="Q84" s="508">
        <f t="shared" si="8"/>
        <v>11.344676394661141</v>
      </c>
      <c r="R84" s="509">
        <f>K76</f>
        <v>10.310826910434773</v>
      </c>
      <c r="S84" s="508">
        <f t="shared" ref="S84:T84" si="9">(S57*$B$64/2204.62262)/1000000</f>
        <v>10.948869161561991</v>
      </c>
      <c r="T84" s="508">
        <f t="shared" si="9"/>
        <v>11.314045983185094</v>
      </c>
    </row>
    <row r="85" spans="2:20" ht="11.25" customHeight="1">
      <c r="R85" s="46">
        <f>+R57*B64/2204/1000000</f>
        <v>10.318538890993647</v>
      </c>
    </row>
    <row r="86" spans="2:20" ht="11.25" customHeight="1"/>
    <row r="87" spans="2:20" ht="11.25" customHeight="1"/>
    <row r="88" spans="2:20" ht="11.25" customHeight="1"/>
    <row r="89" spans="2:20" ht="11.25" customHeight="1"/>
    <row r="90" spans="2:20" ht="11.25" customHeight="1"/>
    <row r="91" spans="2:20" ht="11.25" customHeight="1"/>
    <row r="92" spans="2:20" ht="11.25" customHeight="1"/>
    <row r="93" spans="2:20" ht="11.25" customHeight="1"/>
    <row r="94" spans="2:20" ht="11.25" customHeight="1"/>
    <row r="95" spans="2:20" ht="11.25" customHeight="1"/>
    <row r="96" spans="2:20"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C34:K34"/>
    <mergeCell ref="E54:J54"/>
    <mergeCell ref="E81:J81"/>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00"/>
  <sheetViews>
    <sheetView workbookViewId="0"/>
  </sheetViews>
  <sheetFormatPr defaultColWidth="16.85546875" defaultRowHeight="15" customHeight="1"/>
  <cols>
    <col min="1" max="1" width="8" customWidth="1"/>
    <col min="2" max="2" width="15.42578125" customWidth="1"/>
    <col min="3" max="3" width="16.85546875" customWidth="1"/>
    <col min="4" max="4" width="21.140625" customWidth="1"/>
    <col min="5" max="5" width="16" customWidth="1"/>
    <col min="6" max="6" width="19.42578125" customWidth="1"/>
    <col min="7" max="7" width="15.140625" customWidth="1"/>
    <col min="8" max="9" width="8" customWidth="1"/>
    <col min="10" max="10" width="11.42578125" customWidth="1"/>
    <col min="11" max="13" width="8" customWidth="1"/>
  </cols>
  <sheetData>
    <row r="1" spans="1:13" ht="33" customHeight="1">
      <c r="A1" s="17" t="s">
        <v>748</v>
      </c>
      <c r="B1" s="171"/>
      <c r="F1" s="14"/>
      <c r="G1" s="13"/>
      <c r="H1" s="14"/>
    </row>
    <row r="2" spans="1:13" ht="123.75" customHeight="1"/>
    <row r="3" spans="1:13" ht="21" customHeight="1">
      <c r="B3" s="676" t="s">
        <v>749</v>
      </c>
      <c r="C3" s="424"/>
      <c r="D3" s="676"/>
      <c r="E3" s="17">
        <v>2006</v>
      </c>
      <c r="F3" s="14"/>
      <c r="G3" s="14"/>
      <c r="H3" s="14"/>
      <c r="I3" s="14"/>
      <c r="J3" s="14"/>
      <c r="K3" s="14"/>
      <c r="L3" s="14"/>
      <c r="M3" s="14"/>
    </row>
    <row r="4" spans="1:13" ht="13.5" customHeight="1">
      <c r="B4" s="59"/>
      <c r="C4" s="14"/>
      <c r="D4" s="279"/>
      <c r="E4" s="59"/>
      <c r="F4" s="14"/>
      <c r="G4" s="14"/>
      <c r="H4" s="14"/>
      <c r="I4" s="14"/>
      <c r="J4" s="14"/>
      <c r="K4" s="14"/>
      <c r="L4" s="14"/>
      <c r="M4" s="14"/>
    </row>
    <row r="5" spans="1:13" ht="12" customHeight="1">
      <c r="B5" s="677"/>
      <c r="C5" s="678" t="s">
        <v>68</v>
      </c>
      <c r="D5" s="678" t="s">
        <v>451</v>
      </c>
      <c r="E5" s="678" t="s">
        <v>558</v>
      </c>
      <c r="F5" s="678" t="s">
        <v>95</v>
      </c>
      <c r="G5" s="679" t="s">
        <v>95</v>
      </c>
      <c r="H5" s="14"/>
      <c r="I5" s="14"/>
      <c r="J5" s="1663" t="s">
        <v>1</v>
      </c>
      <c r="K5" s="1664"/>
      <c r="L5" s="14"/>
      <c r="M5" s="307"/>
    </row>
    <row r="6" spans="1:13" ht="11.25" customHeight="1">
      <c r="B6" s="680" t="s">
        <v>238</v>
      </c>
      <c r="C6" s="681" t="s">
        <v>453</v>
      </c>
      <c r="D6" s="681" t="s">
        <v>559</v>
      </c>
      <c r="E6" s="681" t="s">
        <v>560</v>
      </c>
      <c r="F6" s="681" t="s">
        <v>561</v>
      </c>
      <c r="G6" s="682" t="s">
        <v>750</v>
      </c>
      <c r="H6" s="307"/>
      <c r="I6" s="14"/>
      <c r="J6" s="25"/>
      <c r="K6" s="25"/>
      <c r="L6" s="14"/>
      <c r="M6" s="307"/>
    </row>
    <row r="7" spans="1:13" ht="11.25" customHeight="1">
      <c r="B7" s="683" t="s">
        <v>253</v>
      </c>
      <c r="C7" s="58">
        <v>94.086020000000005</v>
      </c>
      <c r="D7" s="635">
        <v>56.792727272727269</v>
      </c>
      <c r="E7" s="684">
        <v>1</v>
      </c>
      <c r="F7" s="516">
        <f t="shared" ref="F7:F11" si="0">C7*1000*D7*E7/2000</f>
        <v>2671.7008370181816</v>
      </c>
      <c r="G7" s="685">
        <f t="shared" ref="G7:G11" si="1">F7*(44/12)*0.90718/1000000</f>
        <v>8.8869497395292294E-3</v>
      </c>
      <c r="H7" s="183"/>
      <c r="I7" s="14"/>
      <c r="J7" s="26" t="s">
        <v>60</v>
      </c>
      <c r="K7" s="27">
        <f>Summary!E4</f>
        <v>1</v>
      </c>
      <c r="L7" s="183"/>
      <c r="M7" s="686"/>
    </row>
    <row r="8" spans="1:13" ht="11.25" customHeight="1">
      <c r="B8" s="683" t="s">
        <v>457</v>
      </c>
      <c r="C8" s="58">
        <v>19718.99265</v>
      </c>
      <c r="D8" s="635">
        <v>43.942731277533035</v>
      </c>
      <c r="E8" s="684">
        <v>1</v>
      </c>
      <c r="F8" s="516">
        <f t="shared" si="0"/>
        <v>433253.19754129945</v>
      </c>
      <c r="G8" s="685">
        <f t="shared" si="1"/>
        <v>1.4411416644002255</v>
      </c>
      <c r="H8" s="183"/>
      <c r="I8" s="14"/>
      <c r="J8" s="26" t="s">
        <v>62</v>
      </c>
      <c r="K8" s="27">
        <f>Summary!E5</f>
        <v>28</v>
      </c>
      <c r="L8" s="183"/>
      <c r="M8" s="686"/>
    </row>
    <row r="9" spans="1:13" ht="11.25" customHeight="1">
      <c r="B9" s="683" t="s">
        <v>376</v>
      </c>
      <c r="C9" s="58">
        <v>2477.4286499999998</v>
      </c>
      <c r="D9" s="635">
        <v>43.436123348017617</v>
      </c>
      <c r="E9" s="684">
        <v>1</v>
      </c>
      <c r="F9" s="516">
        <f t="shared" si="0"/>
        <v>53804.948213656382</v>
      </c>
      <c r="G9" s="685">
        <f t="shared" si="1"/>
        <v>0.17897283404170425</v>
      </c>
      <c r="H9" s="183"/>
      <c r="I9" s="14"/>
      <c r="J9" s="26" t="s">
        <v>63</v>
      </c>
      <c r="K9" s="27">
        <f>Summary!E6</f>
        <v>265</v>
      </c>
      <c r="L9" s="183"/>
      <c r="M9" s="686"/>
    </row>
    <row r="10" spans="1:13" ht="11.25" customHeight="1">
      <c r="B10" s="683" t="s">
        <v>709</v>
      </c>
      <c r="C10" s="58">
        <v>6645.3969800000004</v>
      </c>
      <c r="D10" s="635">
        <v>37.905939726350034</v>
      </c>
      <c r="E10" s="684">
        <v>1</v>
      </c>
      <c r="F10" s="516">
        <f t="shared" si="0"/>
        <v>125950.00869077428</v>
      </c>
      <c r="G10" s="685">
        <f t="shared" si="1"/>
        <v>0.41895087257502089</v>
      </c>
      <c r="H10" s="183"/>
      <c r="I10" s="14"/>
      <c r="J10" s="26" t="s">
        <v>65</v>
      </c>
      <c r="K10" s="29">
        <f>Summary!E7</f>
        <v>23500</v>
      </c>
      <c r="L10" s="183"/>
      <c r="M10" s="686"/>
    </row>
    <row r="11" spans="1:13" ht="11.25" customHeight="1">
      <c r="B11" s="683" t="s">
        <v>399</v>
      </c>
      <c r="C11" s="58">
        <v>73811.31078</v>
      </c>
      <c r="D11" s="635">
        <v>31.872246696035241</v>
      </c>
      <c r="E11" s="684">
        <v>1</v>
      </c>
      <c r="F11" s="516">
        <f t="shared" si="0"/>
        <v>1176266.1530689427</v>
      </c>
      <c r="G11" s="685">
        <f t="shared" si="1"/>
        <v>3.9126454720506394</v>
      </c>
      <c r="H11" s="183"/>
      <c r="I11" s="14"/>
      <c r="J11" s="26"/>
      <c r="K11" s="29"/>
      <c r="L11" s="183"/>
      <c r="M11" s="686"/>
    </row>
    <row r="12" spans="1:13" ht="13.5" customHeight="1">
      <c r="B12" s="217"/>
      <c r="C12" s="218"/>
      <c r="D12" s="218"/>
      <c r="E12" s="239" t="s">
        <v>152</v>
      </c>
      <c r="F12" s="687"/>
      <c r="G12" s="688">
        <f>SUM(G7:G11)</f>
        <v>5.9605977928071194</v>
      </c>
      <c r="H12" s="14"/>
      <c r="I12" s="14"/>
      <c r="J12" s="14"/>
      <c r="K12" s="14"/>
      <c r="L12" s="14"/>
      <c r="M12" s="14"/>
    </row>
    <row r="13" spans="1:13" ht="12" customHeight="1"/>
    <row r="14" spans="1:13" ht="21" customHeight="1">
      <c r="B14" s="676" t="s">
        <v>751</v>
      </c>
      <c r="C14" s="424"/>
      <c r="D14" s="689"/>
      <c r="E14" s="17">
        <v>2006</v>
      </c>
      <c r="F14" s="14"/>
      <c r="G14" s="14"/>
      <c r="H14" s="14"/>
      <c r="I14" s="14"/>
      <c r="J14" s="14"/>
      <c r="K14" s="14"/>
      <c r="L14" s="14"/>
      <c r="M14" s="14"/>
    </row>
    <row r="15" spans="1:13" ht="13.5" customHeight="1">
      <c r="B15" s="59"/>
      <c r="C15" s="14"/>
      <c r="D15" s="279"/>
      <c r="E15" s="59"/>
      <c r="F15" s="14"/>
      <c r="G15" s="14"/>
      <c r="H15" s="14"/>
      <c r="I15" s="14"/>
      <c r="J15" s="14"/>
      <c r="K15" s="14"/>
      <c r="L15" s="14"/>
      <c r="M15" s="14"/>
    </row>
    <row r="16" spans="1:13" ht="12" customHeight="1">
      <c r="B16" s="174"/>
      <c r="C16" s="690" t="s">
        <v>68</v>
      </c>
      <c r="D16" s="690" t="s">
        <v>451</v>
      </c>
      <c r="E16" s="690" t="s">
        <v>95</v>
      </c>
      <c r="F16" s="690" t="s">
        <v>452</v>
      </c>
      <c r="G16" s="691" t="s">
        <v>95</v>
      </c>
      <c r="H16" s="307"/>
      <c r="I16" s="14"/>
      <c r="J16" s="14"/>
      <c r="K16" s="307"/>
      <c r="L16" s="14"/>
      <c r="M16" s="307"/>
    </row>
    <row r="17" spans="2:13" ht="11.25" customHeight="1">
      <c r="B17" s="692" t="s">
        <v>238</v>
      </c>
      <c r="C17" s="307" t="s">
        <v>453</v>
      </c>
      <c r="D17" s="307" t="s">
        <v>752</v>
      </c>
      <c r="E17" s="307" t="s">
        <v>753</v>
      </c>
      <c r="F17" s="307"/>
      <c r="G17" s="693" t="s">
        <v>754</v>
      </c>
      <c r="H17" s="307"/>
      <c r="I17" s="14"/>
      <c r="J17" s="307"/>
      <c r="K17" s="307"/>
      <c r="L17" s="14"/>
      <c r="M17" s="307"/>
    </row>
    <row r="18" spans="2:13" ht="11.25" customHeight="1">
      <c r="B18" s="683" t="s">
        <v>253</v>
      </c>
      <c r="C18" s="58">
        <v>94.086020000000005</v>
      </c>
      <c r="D18" s="694">
        <v>1.5034545899835E-3</v>
      </c>
      <c r="E18" s="695">
        <f t="shared" ref="E18:E23" si="2">C18*D18</f>
        <v>0.14145405862227939</v>
      </c>
      <c r="F18" s="58">
        <f t="shared" ref="F18:F23" si="3">$K$9</f>
        <v>265</v>
      </c>
      <c r="G18" s="696">
        <f t="shared" ref="G18:G23" si="4">E18*F18/1000000</f>
        <v>3.7485325534904037E-5</v>
      </c>
      <c r="H18" s="697"/>
      <c r="I18" s="14"/>
      <c r="J18" s="183"/>
      <c r="K18" s="698"/>
      <c r="L18" s="183"/>
      <c r="M18" s="698"/>
    </row>
    <row r="19" spans="2:13" ht="11.25" customHeight="1">
      <c r="B19" s="683" t="s">
        <v>457</v>
      </c>
      <c r="C19" s="58">
        <v>19718.99265</v>
      </c>
      <c r="D19" s="694">
        <v>6.0138183599339984E-4</v>
      </c>
      <c r="E19" s="695">
        <f t="shared" si="2"/>
        <v>11.858644003797357</v>
      </c>
      <c r="F19" s="58">
        <f t="shared" si="3"/>
        <v>265</v>
      </c>
      <c r="G19" s="696">
        <f t="shared" si="4"/>
        <v>3.1425406610062997E-3</v>
      </c>
      <c r="H19" s="697"/>
      <c r="I19" s="14"/>
      <c r="J19" s="183"/>
      <c r="K19" s="698"/>
      <c r="L19" s="183"/>
      <c r="M19" s="698"/>
    </row>
    <row r="20" spans="2:13" ht="11.25" customHeight="1">
      <c r="B20" s="683" t="s">
        <v>376</v>
      </c>
      <c r="C20" s="58">
        <v>2477.4286499999998</v>
      </c>
      <c r="D20" s="694">
        <v>6.0138183599339984E-4</v>
      </c>
      <c r="E20" s="695">
        <f t="shared" si="2"/>
        <v>1.4898805900796499</v>
      </c>
      <c r="F20" s="58">
        <f t="shared" si="3"/>
        <v>265</v>
      </c>
      <c r="G20" s="696">
        <f t="shared" si="4"/>
        <v>3.9481835637110723E-4</v>
      </c>
      <c r="H20" s="697"/>
      <c r="I20" s="14"/>
      <c r="J20" s="183"/>
      <c r="K20" s="698"/>
      <c r="L20" s="183"/>
      <c r="M20" s="698"/>
    </row>
    <row r="21" spans="2:13" ht="11.25" customHeight="1">
      <c r="B21" s="683" t="s">
        <v>709</v>
      </c>
      <c r="C21" s="58">
        <v>6645.3969800000004</v>
      </c>
      <c r="D21" s="694">
        <v>6.0138183599339984E-4</v>
      </c>
      <c r="E21" s="695">
        <f t="shared" si="2"/>
        <v>3.9964210367373947</v>
      </c>
      <c r="F21" s="58">
        <f t="shared" si="3"/>
        <v>265</v>
      </c>
      <c r="G21" s="696">
        <f t="shared" si="4"/>
        <v>1.0590515747354095E-3</v>
      </c>
      <c r="H21" s="697"/>
      <c r="I21" s="14"/>
      <c r="J21" s="183"/>
      <c r="K21" s="698"/>
      <c r="L21" s="183"/>
      <c r="M21" s="698"/>
    </row>
    <row r="22" spans="2:13" ht="11.25" customHeight="1">
      <c r="B22" s="683" t="s">
        <v>399</v>
      </c>
      <c r="C22" s="58">
        <v>73811.31078</v>
      </c>
      <c r="D22" s="694">
        <v>9.4955026735800017E-5</v>
      </c>
      <c r="E22" s="695">
        <f t="shared" si="2"/>
        <v>7.0087549885193443</v>
      </c>
      <c r="F22" s="58">
        <f t="shared" si="3"/>
        <v>265</v>
      </c>
      <c r="G22" s="696">
        <f t="shared" si="4"/>
        <v>1.8573200719576263E-3</v>
      </c>
      <c r="H22" s="697"/>
      <c r="I22" s="14"/>
      <c r="J22" s="183"/>
      <c r="K22" s="698"/>
      <c r="L22" s="183"/>
      <c r="M22" s="698"/>
    </row>
    <row r="23" spans="2:13" ht="11.25" customHeight="1">
      <c r="B23" s="699" t="s">
        <v>755</v>
      </c>
      <c r="C23" s="700">
        <v>6903.1058000000003</v>
      </c>
      <c r="D23" s="701">
        <v>3.7982010694320003E-3</v>
      </c>
      <c r="E23" s="702">
        <f t="shared" si="2"/>
        <v>26.219383831962244</v>
      </c>
      <c r="F23" s="58">
        <f t="shared" si="3"/>
        <v>265</v>
      </c>
      <c r="G23" s="703">
        <f t="shared" si="4"/>
        <v>6.9481367154699946E-3</v>
      </c>
      <c r="H23" s="697"/>
      <c r="I23" s="14"/>
      <c r="J23" s="183"/>
      <c r="K23" s="698"/>
      <c r="L23" s="183"/>
      <c r="M23" s="698"/>
    </row>
    <row r="24" spans="2:13" ht="12" customHeight="1">
      <c r="B24" s="704"/>
      <c r="C24" s="687"/>
      <c r="D24" s="687"/>
      <c r="E24" s="687"/>
      <c r="F24" s="705" t="s">
        <v>152</v>
      </c>
      <c r="G24" s="706">
        <f>SUM(G18:G23)</f>
        <v>1.3439352705075342E-2</v>
      </c>
      <c r="H24" s="14"/>
      <c r="I24" s="307"/>
      <c r="J24" s="183"/>
      <c r="K24" s="707"/>
      <c r="L24" s="183"/>
      <c r="M24" s="708"/>
    </row>
    <row r="25" spans="2:13" ht="12" customHeight="1">
      <c r="H25" s="14"/>
      <c r="I25" s="14"/>
      <c r="J25" s="14"/>
      <c r="K25" s="14"/>
      <c r="L25" s="14"/>
      <c r="M25" s="14"/>
    </row>
    <row r="26" spans="2:13" ht="11.25" customHeight="1">
      <c r="H26" s="14"/>
      <c r="I26" s="14"/>
      <c r="J26" s="14"/>
      <c r="K26" s="14"/>
      <c r="L26" s="14"/>
      <c r="M26" s="14"/>
    </row>
    <row r="27" spans="2:13" ht="21" customHeight="1">
      <c r="B27" s="676" t="s">
        <v>756</v>
      </c>
      <c r="C27" s="424"/>
      <c r="D27" s="689"/>
      <c r="E27" s="17">
        <v>2006</v>
      </c>
      <c r="F27" s="14"/>
      <c r="G27" s="14"/>
      <c r="H27" s="14"/>
      <c r="I27" s="14"/>
      <c r="J27" s="14"/>
      <c r="K27" s="14"/>
      <c r="L27" s="14"/>
      <c r="M27" s="14"/>
    </row>
    <row r="28" spans="2:13" ht="13.5" customHeight="1">
      <c r="B28" s="59"/>
      <c r="C28" s="14"/>
      <c r="D28" s="279"/>
      <c r="E28" s="59"/>
      <c r="F28" s="14"/>
      <c r="G28" s="14"/>
      <c r="H28" s="14"/>
      <c r="I28" s="14"/>
      <c r="J28" s="14"/>
      <c r="K28" s="14"/>
      <c r="L28" s="14"/>
      <c r="M28" s="14"/>
    </row>
    <row r="29" spans="2:13" ht="12" customHeight="1">
      <c r="B29" s="174"/>
      <c r="C29" s="690" t="s">
        <v>68</v>
      </c>
      <c r="D29" s="690" t="s">
        <v>451</v>
      </c>
      <c r="E29" s="690" t="s">
        <v>95</v>
      </c>
      <c r="F29" s="690" t="s">
        <v>452</v>
      </c>
      <c r="G29" s="691" t="s">
        <v>95</v>
      </c>
      <c r="H29" s="307"/>
      <c r="I29" s="14"/>
      <c r="J29" s="14"/>
      <c r="K29" s="307"/>
      <c r="L29" s="14"/>
      <c r="M29" s="14"/>
    </row>
    <row r="30" spans="2:13" ht="11.25" customHeight="1">
      <c r="B30" s="692" t="s">
        <v>238</v>
      </c>
      <c r="C30" s="307" t="s">
        <v>453</v>
      </c>
      <c r="D30" s="307" t="s">
        <v>454</v>
      </c>
      <c r="E30" s="307" t="s">
        <v>757</v>
      </c>
      <c r="F30" s="307"/>
      <c r="G30" s="693" t="s">
        <v>758</v>
      </c>
      <c r="H30" s="307"/>
      <c r="I30" s="14"/>
      <c r="J30" s="307"/>
      <c r="K30" s="307"/>
      <c r="L30" s="14"/>
      <c r="M30" s="14"/>
    </row>
    <row r="31" spans="2:13" ht="11.25" customHeight="1">
      <c r="B31" s="683" t="s">
        <v>253</v>
      </c>
      <c r="C31" s="58">
        <v>94.086020000000005</v>
      </c>
      <c r="D31" s="694">
        <v>0.3006909179967</v>
      </c>
      <c r="E31" s="709">
        <f t="shared" ref="E31:E36" si="5">C31*D31</f>
        <v>28.290811724455878</v>
      </c>
      <c r="F31" s="58">
        <f t="shared" ref="F31:F36" si="6">$K$8</f>
        <v>28</v>
      </c>
      <c r="G31" s="710">
        <f t="shared" ref="G31:G36" si="7">E31*F31/1000000</f>
        <v>7.9214272828476465E-4</v>
      </c>
      <c r="H31" s="697"/>
      <c r="I31" s="14"/>
      <c r="J31" s="183"/>
      <c r="K31" s="686"/>
      <c r="L31" s="183"/>
      <c r="M31" s="698"/>
    </row>
    <row r="32" spans="2:13" ht="11.25" customHeight="1">
      <c r="B32" s="683" t="s">
        <v>457</v>
      </c>
      <c r="C32" s="58">
        <v>19718.99265</v>
      </c>
      <c r="D32" s="694">
        <v>1.0023030599889999E-2</v>
      </c>
      <c r="E32" s="709">
        <f t="shared" si="5"/>
        <v>197.64406672995599</v>
      </c>
      <c r="F32" s="58">
        <f t="shared" si="6"/>
        <v>28</v>
      </c>
      <c r="G32" s="710">
        <f t="shared" si="7"/>
        <v>5.5340338684387678E-3</v>
      </c>
      <c r="H32" s="697"/>
      <c r="I32" s="14"/>
      <c r="J32" s="183"/>
      <c r="K32" s="686"/>
      <c r="L32" s="183"/>
      <c r="M32" s="698"/>
    </row>
    <row r="33" spans="2:13" ht="11.25" customHeight="1">
      <c r="B33" s="683" t="s">
        <v>376</v>
      </c>
      <c r="C33" s="58">
        <v>2477.4286499999998</v>
      </c>
      <c r="D33" s="694">
        <v>1.0023030599889999E-2</v>
      </c>
      <c r="E33" s="709">
        <f t="shared" si="5"/>
        <v>24.83134316799417</v>
      </c>
      <c r="F33" s="58">
        <f t="shared" si="6"/>
        <v>28</v>
      </c>
      <c r="G33" s="710">
        <f t="shared" si="7"/>
        <v>6.952776087038368E-4</v>
      </c>
      <c r="H33" s="697"/>
      <c r="I33" s="14"/>
      <c r="J33" s="183"/>
      <c r="K33" s="686"/>
      <c r="L33" s="183"/>
      <c r="M33" s="698"/>
    </row>
    <row r="34" spans="2:13" ht="11.25" customHeight="1">
      <c r="B34" s="683" t="s">
        <v>709</v>
      </c>
      <c r="C34" s="58">
        <v>6645.3969800000004</v>
      </c>
      <c r="D34" s="694">
        <v>1.0023030599889999E-2</v>
      </c>
      <c r="E34" s="709">
        <f t="shared" si="5"/>
        <v>66.60701727895659</v>
      </c>
      <c r="F34" s="58">
        <f t="shared" si="6"/>
        <v>28</v>
      </c>
      <c r="G34" s="710">
        <f t="shared" si="7"/>
        <v>1.8649964838107845E-3</v>
      </c>
      <c r="H34" s="697"/>
      <c r="I34" s="14"/>
      <c r="J34" s="183"/>
      <c r="K34" s="686"/>
      <c r="L34" s="183"/>
      <c r="M34" s="698"/>
    </row>
    <row r="35" spans="2:13" ht="11.25" customHeight="1">
      <c r="B35" s="683" t="s">
        <v>399</v>
      </c>
      <c r="C35" s="58">
        <v>73811.31078</v>
      </c>
      <c r="D35" s="694">
        <v>4.7477513367900001E-3</v>
      </c>
      <c r="E35" s="709">
        <f t="shared" si="5"/>
        <v>350.43774942596713</v>
      </c>
      <c r="F35" s="58">
        <f t="shared" si="6"/>
        <v>28</v>
      </c>
      <c r="G35" s="710">
        <f t="shared" si="7"/>
        <v>9.8122569839270805E-3</v>
      </c>
      <c r="H35" s="697"/>
      <c r="I35" s="14"/>
      <c r="J35" s="183"/>
      <c r="K35" s="686"/>
      <c r="L35" s="183"/>
      <c r="M35" s="698"/>
    </row>
    <row r="36" spans="2:13" ht="11.25" customHeight="1">
      <c r="B36" s="683" t="s">
        <v>755</v>
      </c>
      <c r="C36" s="58">
        <v>6903.1058000000003</v>
      </c>
      <c r="D36" s="694">
        <v>0.28486508020740003</v>
      </c>
      <c r="E36" s="709">
        <f t="shared" si="5"/>
        <v>1966.4537873971685</v>
      </c>
      <c r="F36" s="58">
        <f t="shared" si="6"/>
        <v>28</v>
      </c>
      <c r="G36" s="710">
        <f t="shared" si="7"/>
        <v>5.5060706047120725E-2</v>
      </c>
      <c r="H36" s="697"/>
      <c r="I36" s="14"/>
      <c r="J36" s="183"/>
      <c r="K36" s="686"/>
      <c r="L36" s="183"/>
      <c r="M36" s="698"/>
    </row>
    <row r="37" spans="2:13" ht="12" customHeight="1">
      <c r="B37" s="217"/>
      <c r="C37" s="218"/>
      <c r="D37" s="218"/>
      <c r="E37" s="218"/>
      <c r="F37" s="711" t="s">
        <v>152</v>
      </c>
      <c r="G37" s="712">
        <f>SUM(G31:G36)</f>
        <v>7.3759413720285966E-2</v>
      </c>
      <c r="H37" s="14"/>
      <c r="I37" s="14"/>
      <c r="J37" s="183"/>
      <c r="K37" s="707"/>
      <c r="L37" s="14"/>
      <c r="M37" s="708"/>
    </row>
    <row r="38" spans="2:13" ht="12" customHeight="1"/>
    <row r="39" spans="2:13" ht="11.25" customHeight="1"/>
    <row r="40" spans="2:13" ht="11.25" customHeight="1"/>
    <row r="41" spans="2:13" ht="21" customHeight="1">
      <c r="B41" s="713" t="s">
        <v>759</v>
      </c>
      <c r="C41" s="714"/>
      <c r="D41" s="715"/>
      <c r="E41" s="713"/>
      <c r="F41" s="14"/>
      <c r="G41" s="14"/>
    </row>
    <row r="42" spans="2:13" ht="13.5" customHeight="1">
      <c r="B42" s="59"/>
      <c r="C42" s="14"/>
      <c r="D42" s="279"/>
      <c r="E42" s="59"/>
      <c r="F42" s="14"/>
      <c r="G42" s="14"/>
    </row>
    <row r="43" spans="2:13" ht="12" customHeight="1">
      <c r="B43" s="174"/>
      <c r="C43" s="716" t="s">
        <v>95</v>
      </c>
      <c r="D43" s="716" t="s">
        <v>95</v>
      </c>
      <c r="E43" s="716" t="s">
        <v>95</v>
      </c>
      <c r="F43" s="716" t="s">
        <v>95</v>
      </c>
      <c r="G43" s="307"/>
    </row>
    <row r="44" spans="2:13" ht="11.25" customHeight="1">
      <c r="B44" s="182"/>
      <c r="C44" s="717" t="s">
        <v>760</v>
      </c>
      <c r="D44" s="717" t="s">
        <v>761</v>
      </c>
      <c r="E44" s="717" t="s">
        <v>762</v>
      </c>
      <c r="F44" s="717" t="s">
        <v>152</v>
      </c>
      <c r="G44" s="307"/>
    </row>
    <row r="45" spans="2:13" ht="11.25" customHeight="1">
      <c r="B45" s="718" t="s">
        <v>238</v>
      </c>
      <c r="C45" s="717" t="s">
        <v>763</v>
      </c>
      <c r="D45" s="717" t="s">
        <v>764</v>
      </c>
      <c r="E45" s="717" t="s">
        <v>765</v>
      </c>
      <c r="F45" s="717" t="s">
        <v>766</v>
      </c>
      <c r="G45" s="307"/>
    </row>
    <row r="46" spans="2:13" ht="11.25" customHeight="1">
      <c r="B46" s="268" t="s">
        <v>253</v>
      </c>
      <c r="C46" s="719">
        <f t="shared" ref="C46:C50" si="8">G7</f>
        <v>8.8869497395292294E-3</v>
      </c>
      <c r="D46" s="720">
        <f t="shared" ref="D46:D51" si="9">G18</f>
        <v>3.7485325534904037E-5</v>
      </c>
      <c r="E46" s="720">
        <f t="shared" ref="E46:E51" si="10">G31</f>
        <v>7.9214272828476465E-4</v>
      </c>
      <c r="F46" s="720">
        <f t="shared" ref="F46:F51" si="11">C46+D46+E46</f>
        <v>9.7165777933488993E-3</v>
      </c>
      <c r="G46" s="721"/>
    </row>
    <row r="47" spans="2:13" ht="11.25" customHeight="1">
      <c r="B47" s="268" t="s">
        <v>457</v>
      </c>
      <c r="C47" s="719">
        <f t="shared" si="8"/>
        <v>1.4411416644002255</v>
      </c>
      <c r="D47" s="720">
        <f t="shared" si="9"/>
        <v>3.1425406610062997E-3</v>
      </c>
      <c r="E47" s="720">
        <f t="shared" si="10"/>
        <v>5.5340338684387678E-3</v>
      </c>
      <c r="F47" s="720">
        <f t="shared" si="11"/>
        <v>1.4498182389296708</v>
      </c>
      <c r="G47" s="721"/>
    </row>
    <row r="48" spans="2:13" ht="11.25" customHeight="1">
      <c r="B48" s="268" t="s">
        <v>376</v>
      </c>
      <c r="C48" s="719">
        <f t="shared" si="8"/>
        <v>0.17897283404170425</v>
      </c>
      <c r="D48" s="720">
        <f t="shared" si="9"/>
        <v>3.9481835637110723E-4</v>
      </c>
      <c r="E48" s="720">
        <f t="shared" si="10"/>
        <v>6.952776087038368E-4</v>
      </c>
      <c r="F48" s="720">
        <f t="shared" si="11"/>
        <v>0.1800629300067792</v>
      </c>
      <c r="G48" s="721"/>
    </row>
    <row r="49" spans="2:7" ht="11.25" customHeight="1">
      <c r="B49" s="268" t="s">
        <v>709</v>
      </c>
      <c r="C49" s="719">
        <f t="shared" si="8"/>
        <v>0.41895087257502089</v>
      </c>
      <c r="D49" s="720">
        <f t="shared" si="9"/>
        <v>1.0590515747354095E-3</v>
      </c>
      <c r="E49" s="720">
        <f t="shared" si="10"/>
        <v>1.8649964838107845E-3</v>
      </c>
      <c r="F49" s="720">
        <f t="shared" si="11"/>
        <v>0.42187492063356707</v>
      </c>
      <c r="G49" s="721"/>
    </row>
    <row r="50" spans="2:7" ht="11.25" customHeight="1">
      <c r="B50" s="268" t="s">
        <v>399</v>
      </c>
      <c r="C50" s="719">
        <f t="shared" si="8"/>
        <v>3.9126454720506394</v>
      </c>
      <c r="D50" s="720">
        <f t="shared" si="9"/>
        <v>1.8573200719576263E-3</v>
      </c>
      <c r="E50" s="720">
        <f t="shared" si="10"/>
        <v>9.8122569839270805E-3</v>
      </c>
      <c r="F50" s="720">
        <f t="shared" si="11"/>
        <v>3.9243150491065242</v>
      </c>
      <c r="G50" s="721"/>
    </row>
    <row r="51" spans="2:7" ht="11.25" customHeight="1">
      <c r="B51" s="268" t="s">
        <v>755</v>
      </c>
      <c r="C51" s="722">
        <v>0</v>
      </c>
      <c r="D51" s="720">
        <f t="shared" si="9"/>
        <v>6.9481367154699946E-3</v>
      </c>
      <c r="E51" s="720">
        <f t="shared" si="10"/>
        <v>5.5060706047120725E-2</v>
      </c>
      <c r="F51" s="720">
        <f t="shared" si="11"/>
        <v>6.2008842762590721E-2</v>
      </c>
      <c r="G51" s="721"/>
    </row>
    <row r="52" spans="2:7" ht="12" customHeight="1">
      <c r="B52" s="217"/>
      <c r="C52" s="218"/>
      <c r="D52" s="218"/>
      <c r="E52" s="723" t="s">
        <v>152</v>
      </c>
      <c r="F52" s="724">
        <f>SUM(F46:F51)</f>
        <v>6.0477965592324807</v>
      </c>
      <c r="G52" s="725"/>
    </row>
    <row r="53" spans="2:7" ht="12" customHeight="1"/>
    <row r="54" spans="2:7" ht="11.25" customHeight="1"/>
    <row r="55" spans="2:7" ht="11.25" customHeight="1"/>
    <row r="56" spans="2:7" ht="11.25" customHeight="1"/>
    <row r="57" spans="2:7" ht="11.25" customHeight="1"/>
    <row r="58" spans="2:7" ht="11.25" customHeight="1">
      <c r="B58" s="46" t="s">
        <v>767</v>
      </c>
    </row>
    <row r="59" spans="2:7" ht="11.25" customHeight="1"/>
    <row r="60" spans="2:7" ht="11.25" customHeight="1"/>
    <row r="61" spans="2:7" ht="11.25" customHeight="1">
      <c r="B61" s="46" t="s">
        <v>768</v>
      </c>
    </row>
    <row r="62" spans="2:7" ht="11.25" customHeight="1"/>
    <row r="63" spans="2:7" ht="11.25" customHeight="1"/>
    <row r="64" spans="2:7"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J5:K5"/>
  </mergeCells>
  <pageMargins left="0.7" right="0.7" top="0.75" bottom="0.75" header="0" footer="0"/>
  <pageSetup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heetViews>
  <sheetFormatPr defaultColWidth="16.85546875" defaultRowHeight="15" customHeight="1"/>
  <cols>
    <col min="1" max="1" width="8" customWidth="1"/>
    <col min="2" max="2" width="23.140625" customWidth="1"/>
    <col min="3" max="3" width="19.7109375" customWidth="1"/>
    <col min="4" max="4" width="23.140625" customWidth="1"/>
    <col min="5" max="5" width="15.85546875" customWidth="1"/>
    <col min="6" max="6" width="18.42578125" customWidth="1"/>
    <col min="7" max="7" width="15.7109375" customWidth="1"/>
    <col min="8" max="9" width="8" customWidth="1"/>
    <col min="10" max="10" width="11.42578125" customWidth="1"/>
    <col min="11" max="26" width="8" customWidth="1"/>
  </cols>
  <sheetData>
    <row r="1" spans="1:26" ht="33" customHeight="1">
      <c r="A1" s="17" t="s">
        <v>769</v>
      </c>
      <c r="B1" s="171"/>
      <c r="C1" s="14"/>
      <c r="D1" s="14"/>
      <c r="E1" s="14"/>
      <c r="F1" s="13"/>
      <c r="G1" s="14"/>
      <c r="H1" s="14"/>
      <c r="I1" s="14"/>
      <c r="J1" s="14"/>
      <c r="K1" s="14"/>
      <c r="L1" s="14"/>
      <c r="M1" s="14"/>
      <c r="N1" s="14"/>
      <c r="O1" s="14"/>
      <c r="P1" s="14"/>
      <c r="Q1" s="14"/>
      <c r="R1" s="14"/>
      <c r="S1" s="14"/>
      <c r="T1" s="14"/>
      <c r="U1" s="14"/>
      <c r="V1" s="14"/>
      <c r="W1" s="14"/>
      <c r="X1" s="14"/>
      <c r="Y1" s="14"/>
      <c r="Z1" s="14"/>
    </row>
    <row r="2" spans="1:26" ht="66.75" customHeight="1"/>
    <row r="3" spans="1:26" ht="12" customHeight="1"/>
    <row r="4" spans="1:26" ht="21.75" customHeight="1">
      <c r="B4" s="726" t="s">
        <v>770</v>
      </c>
      <c r="C4" s="727"/>
      <c r="D4" s="728"/>
      <c r="E4" s="729">
        <v>2006</v>
      </c>
      <c r="F4" s="176"/>
      <c r="G4" s="175"/>
      <c r="H4" s="14"/>
      <c r="I4" s="14"/>
      <c r="J4" s="14"/>
      <c r="K4" s="14"/>
      <c r="L4" s="14"/>
      <c r="M4" s="14"/>
    </row>
    <row r="5" spans="1:26" ht="12" customHeight="1">
      <c r="B5" s="182"/>
      <c r="C5" s="14"/>
      <c r="D5" s="14"/>
      <c r="E5" s="14"/>
      <c r="F5" s="14"/>
      <c r="G5" s="197"/>
      <c r="H5" s="14"/>
      <c r="I5" s="14"/>
      <c r="J5" s="1663" t="s">
        <v>1</v>
      </c>
      <c r="K5" s="1664"/>
      <c r="L5" s="14"/>
      <c r="M5" s="307"/>
    </row>
    <row r="6" spans="1:26" ht="11.25" customHeight="1">
      <c r="B6" s="730"/>
      <c r="C6" s="731" t="s">
        <v>68</v>
      </c>
      <c r="D6" s="731" t="s">
        <v>451</v>
      </c>
      <c r="E6" s="731" t="s">
        <v>558</v>
      </c>
      <c r="F6" s="731" t="s">
        <v>95</v>
      </c>
      <c r="G6" s="732" t="s">
        <v>95</v>
      </c>
      <c r="H6" s="14"/>
      <c r="I6" s="14"/>
      <c r="J6" s="25"/>
      <c r="K6" s="25"/>
      <c r="L6" s="14"/>
      <c r="M6" s="307"/>
      <c r="N6" s="14"/>
    </row>
    <row r="7" spans="1:26" ht="12" customHeight="1">
      <c r="B7" s="733" t="s">
        <v>238</v>
      </c>
      <c r="C7" s="734" t="s">
        <v>453</v>
      </c>
      <c r="D7" s="734" t="s">
        <v>559</v>
      </c>
      <c r="E7" s="734" t="s">
        <v>560</v>
      </c>
      <c r="F7" s="734" t="s">
        <v>561</v>
      </c>
      <c r="G7" s="735" t="s">
        <v>771</v>
      </c>
      <c r="H7" s="307"/>
      <c r="I7" s="14"/>
      <c r="J7" s="26" t="s">
        <v>60</v>
      </c>
      <c r="K7" s="27">
        <f>Summary!E4</f>
        <v>1</v>
      </c>
      <c r="L7" s="14"/>
      <c r="M7" s="307"/>
      <c r="N7" s="14"/>
    </row>
    <row r="8" spans="1:26" ht="11.25" customHeight="1">
      <c r="B8" s="736" t="s">
        <v>253</v>
      </c>
      <c r="C8" s="737">
        <v>951.31425000000002</v>
      </c>
      <c r="D8" s="738">
        <v>56.792727272727269</v>
      </c>
      <c r="E8" s="739">
        <v>1</v>
      </c>
      <c r="F8" s="740">
        <f t="shared" ref="F8:F14" si="0">C8*1000*D8*E8/2000</f>
        <v>27013.865375454545</v>
      </c>
      <c r="G8" s="741">
        <f t="shared" ref="G8:G14" si="1">F8*(44/12)*0.90718/1000000</f>
        <v>8.9856940768117802E-2</v>
      </c>
      <c r="H8" s="183"/>
      <c r="I8" s="14"/>
      <c r="J8" s="26" t="s">
        <v>62</v>
      </c>
      <c r="K8" s="27">
        <f>Summary!E5</f>
        <v>28</v>
      </c>
      <c r="L8" s="183"/>
      <c r="M8" s="686"/>
      <c r="N8" s="14"/>
    </row>
    <row r="9" spans="1:26" ht="11.25" customHeight="1">
      <c r="B9" s="736" t="s">
        <v>457</v>
      </c>
      <c r="C9" s="58">
        <v>10493.920109999999</v>
      </c>
      <c r="D9" s="635">
        <v>43.942731277533035</v>
      </c>
      <c r="E9" s="684">
        <v>1</v>
      </c>
      <c r="F9" s="516">
        <f t="shared" si="0"/>
        <v>230565.75572081495</v>
      </c>
      <c r="G9" s="742">
        <f t="shared" si="1"/>
        <v>0.76693702167429922</v>
      </c>
      <c r="H9" s="183"/>
      <c r="I9" s="14"/>
      <c r="J9" s="26" t="s">
        <v>63</v>
      </c>
      <c r="K9" s="27">
        <f>Summary!E6</f>
        <v>265</v>
      </c>
      <c r="L9" s="183"/>
      <c r="M9" s="686"/>
      <c r="N9" s="14"/>
    </row>
    <row r="10" spans="1:26" ht="11.25" customHeight="1">
      <c r="B10" s="736" t="s">
        <v>376</v>
      </c>
      <c r="C10" s="58">
        <v>353.45787999999999</v>
      </c>
      <c r="D10" s="635">
        <v>43.436123348017617</v>
      </c>
      <c r="E10" s="684">
        <v>1</v>
      </c>
      <c r="F10" s="516">
        <f t="shared" si="0"/>
        <v>7676.4200370044045</v>
      </c>
      <c r="G10" s="742">
        <f t="shared" si="1"/>
        <v>2.5534280673622067E-2</v>
      </c>
      <c r="H10" s="183"/>
      <c r="I10" s="14"/>
      <c r="J10" s="26" t="s">
        <v>65</v>
      </c>
      <c r="K10" s="29">
        <f>Summary!E7</f>
        <v>23500</v>
      </c>
      <c r="L10" s="183"/>
      <c r="M10" s="686"/>
      <c r="N10" s="14"/>
    </row>
    <row r="11" spans="1:26" ht="11.25" customHeight="1">
      <c r="B11" s="736" t="s">
        <v>709</v>
      </c>
      <c r="C11" s="58">
        <v>1172.7171000000001</v>
      </c>
      <c r="D11" s="635">
        <v>37.905939726350034</v>
      </c>
      <c r="E11" s="684">
        <v>1</v>
      </c>
      <c r="F11" s="516">
        <f t="shared" si="0"/>
        <v>22226.471854330004</v>
      </c>
      <c r="G11" s="742">
        <f t="shared" si="1"/>
        <v>7.3932506034974005E-2</v>
      </c>
      <c r="H11" s="183"/>
      <c r="I11" s="14"/>
      <c r="J11" s="26"/>
      <c r="K11" s="29"/>
      <c r="L11" s="183"/>
      <c r="M11" s="686"/>
      <c r="N11" s="14"/>
    </row>
    <row r="12" spans="1:26" ht="11.25" customHeight="1">
      <c r="B12" s="736" t="s">
        <v>633</v>
      </c>
      <c r="C12" s="58">
        <v>170.91419000000002</v>
      </c>
      <c r="D12" s="635">
        <v>42.62265</v>
      </c>
      <c r="E12" s="684">
        <v>1</v>
      </c>
      <c r="F12" s="516">
        <f t="shared" si="0"/>
        <v>3642.4078502017505</v>
      </c>
      <c r="G12" s="742">
        <f t="shared" si="1"/>
        <v>1.2115838363002087E-2</v>
      </c>
      <c r="H12" s="183"/>
      <c r="I12" s="14"/>
      <c r="J12" s="183"/>
      <c r="K12" s="686"/>
      <c r="L12" s="183"/>
      <c r="M12" s="686"/>
      <c r="N12" s="14"/>
    </row>
    <row r="13" spans="1:26" ht="11.25" customHeight="1">
      <c r="B13" s="736" t="s">
        <v>458</v>
      </c>
      <c r="C13" s="58">
        <v>301.52722</v>
      </c>
      <c r="D13" s="635">
        <v>47.33480176211453</v>
      </c>
      <c r="E13" s="684">
        <v>1</v>
      </c>
      <c r="F13" s="516">
        <f t="shared" si="0"/>
        <v>7136.3655922907474</v>
      </c>
      <c r="G13" s="742">
        <f t="shared" si="1"/>
        <v>2.3737883172719174E-2</v>
      </c>
      <c r="H13" s="183"/>
      <c r="I13" s="14"/>
      <c r="J13" s="183"/>
      <c r="K13" s="686"/>
      <c r="L13" s="183"/>
      <c r="M13" s="686"/>
      <c r="N13" s="14"/>
    </row>
    <row r="14" spans="1:26" ht="12" customHeight="1">
      <c r="B14" s="736" t="s">
        <v>399</v>
      </c>
      <c r="C14" s="700">
        <v>65040.950519999999</v>
      </c>
      <c r="D14" s="743">
        <v>31.872246696035241</v>
      </c>
      <c r="E14" s="744">
        <v>1</v>
      </c>
      <c r="F14" s="745">
        <f t="shared" si="0"/>
        <v>1036500.6101590306</v>
      </c>
      <c r="G14" s="746">
        <f t="shared" si="1"/>
        <v>3.4477396195882544</v>
      </c>
      <c r="H14" s="183"/>
      <c r="I14" s="14"/>
      <c r="J14" s="183"/>
      <c r="K14" s="686"/>
      <c r="L14" s="183"/>
      <c r="M14" s="686"/>
      <c r="N14" s="14"/>
    </row>
    <row r="15" spans="1:26" ht="12" customHeight="1">
      <c r="B15" s="747"/>
      <c r="C15" s="748"/>
      <c r="D15" s="748"/>
      <c r="E15" s="748"/>
      <c r="F15" s="749" t="s">
        <v>152</v>
      </c>
      <c r="G15" s="750">
        <f>SUM(G8:G14)</f>
        <v>4.4398540902749888</v>
      </c>
      <c r="H15" s="14"/>
      <c r="I15" s="14"/>
      <c r="J15" s="14"/>
      <c r="K15" s="14"/>
      <c r="L15" s="14"/>
      <c r="M15" s="14"/>
      <c r="N15" s="14"/>
    </row>
    <row r="16" spans="1:26" ht="11.25" customHeight="1"/>
    <row r="17" spans="2:13" ht="12" customHeight="1"/>
    <row r="18" spans="2:13" ht="21.75" customHeight="1">
      <c r="B18" s="726" t="s">
        <v>772</v>
      </c>
      <c r="C18" s="727"/>
      <c r="D18" s="727"/>
      <c r="E18" s="729">
        <v>2006</v>
      </c>
      <c r="F18" s="176"/>
      <c r="G18" s="175"/>
      <c r="H18" s="14"/>
      <c r="I18" s="14"/>
      <c r="J18" s="14"/>
      <c r="K18" s="14"/>
      <c r="L18" s="14"/>
      <c r="M18" s="14"/>
    </row>
    <row r="19" spans="2:13" ht="12" customHeight="1">
      <c r="B19" s="182"/>
      <c r="C19" s="14"/>
      <c r="D19" s="14"/>
      <c r="E19" s="14"/>
      <c r="F19" s="14"/>
      <c r="G19" s="197"/>
      <c r="H19" s="14"/>
      <c r="I19" s="14"/>
      <c r="J19" s="14"/>
      <c r="K19" s="14"/>
      <c r="L19" s="14"/>
      <c r="M19" s="307"/>
    </row>
    <row r="20" spans="2:13" ht="11.25" customHeight="1">
      <c r="B20" s="730"/>
      <c r="C20" s="731" t="s">
        <v>68</v>
      </c>
      <c r="D20" s="731" t="s">
        <v>451</v>
      </c>
      <c r="E20" s="731" t="s">
        <v>461</v>
      </c>
      <c r="F20" s="731" t="s">
        <v>452</v>
      </c>
      <c r="G20" s="732" t="s">
        <v>95</v>
      </c>
      <c r="H20" s="14"/>
      <c r="J20" s="14"/>
      <c r="K20" s="307"/>
      <c r="L20" s="14"/>
      <c r="M20" s="307"/>
    </row>
    <row r="21" spans="2:13" ht="12" customHeight="1">
      <c r="B21" s="733" t="s">
        <v>238</v>
      </c>
      <c r="C21" s="734" t="s">
        <v>453</v>
      </c>
      <c r="D21" s="734" t="s">
        <v>773</v>
      </c>
      <c r="E21" s="734" t="s">
        <v>774</v>
      </c>
      <c r="F21" s="734"/>
      <c r="G21" s="735" t="s">
        <v>758</v>
      </c>
      <c r="H21" s="307"/>
      <c r="J21" s="14"/>
      <c r="K21" s="307"/>
      <c r="L21" s="14"/>
      <c r="M21" s="307"/>
    </row>
    <row r="22" spans="2:13" ht="11.25" customHeight="1">
      <c r="B22" s="751" t="s">
        <v>253</v>
      </c>
      <c r="C22" s="737">
        <v>951.31425000000002</v>
      </c>
      <c r="D22" s="752">
        <v>1.5034545899835E-3</v>
      </c>
      <c r="E22" s="753">
        <f t="shared" ref="E22:E29" si="2">C22*D22</f>
        <v>1.4302577756792108</v>
      </c>
      <c r="F22" s="737">
        <f t="shared" ref="F22:F29" si="3">$K$9</f>
        <v>265</v>
      </c>
      <c r="G22" s="741">
        <f t="shared" ref="G22:G29" si="4">E22*F22/1000000</f>
        <v>3.7901831055499086E-4</v>
      </c>
      <c r="H22" s="754"/>
      <c r="J22" s="183"/>
      <c r="K22" s="686"/>
      <c r="L22" s="183"/>
      <c r="M22" s="698"/>
    </row>
    <row r="23" spans="2:13" ht="11.25" customHeight="1">
      <c r="B23" s="683" t="s">
        <v>457</v>
      </c>
      <c r="C23" s="58">
        <v>10493.920109999999</v>
      </c>
      <c r="D23" s="694">
        <v>6.0138183599339984E-4</v>
      </c>
      <c r="E23" s="755">
        <f t="shared" si="2"/>
        <v>6.3108529425198601</v>
      </c>
      <c r="F23" s="58">
        <f t="shared" si="3"/>
        <v>265</v>
      </c>
      <c r="G23" s="742">
        <f t="shared" si="4"/>
        <v>1.6723760297677628E-3</v>
      </c>
      <c r="H23" s="754"/>
      <c r="J23" s="183"/>
      <c r="K23" s="686"/>
      <c r="L23" s="183"/>
      <c r="M23" s="698"/>
    </row>
    <row r="24" spans="2:13" ht="11.25" customHeight="1">
      <c r="B24" s="683" t="s">
        <v>376</v>
      </c>
      <c r="C24" s="58">
        <v>353.45787999999999</v>
      </c>
      <c r="D24" s="694">
        <v>6.0138183599339984E-4</v>
      </c>
      <c r="E24" s="755">
        <f t="shared" si="2"/>
        <v>0.21256314882073479</v>
      </c>
      <c r="F24" s="58">
        <f t="shared" si="3"/>
        <v>265</v>
      </c>
      <c r="G24" s="742">
        <f t="shared" si="4"/>
        <v>5.6329234437494722E-5</v>
      </c>
      <c r="H24" s="754"/>
      <c r="J24" s="183"/>
      <c r="K24" s="686"/>
      <c r="L24" s="183"/>
      <c r="M24" s="698"/>
    </row>
    <row r="25" spans="2:13" ht="11.25" customHeight="1">
      <c r="B25" s="683" t="s">
        <v>709</v>
      </c>
      <c r="C25" s="58">
        <v>1172.7171000000001</v>
      </c>
      <c r="D25" s="694">
        <v>6.0138183599339984E-4</v>
      </c>
      <c r="E25" s="755">
        <f t="shared" si="2"/>
        <v>0.70525076269885556</v>
      </c>
      <c r="F25" s="58">
        <f t="shared" si="3"/>
        <v>265</v>
      </c>
      <c r="G25" s="742">
        <f t="shared" si="4"/>
        <v>1.8689145211519672E-4</v>
      </c>
      <c r="H25" s="754"/>
      <c r="J25" s="183"/>
      <c r="K25" s="686"/>
      <c r="L25" s="183"/>
      <c r="M25" s="698"/>
    </row>
    <row r="26" spans="2:13" ht="11.25" customHeight="1">
      <c r="B26" s="683" t="s">
        <v>633</v>
      </c>
      <c r="C26" s="58">
        <v>178.19621000000001</v>
      </c>
      <c r="D26" s="694">
        <v>6.0138183599339984E-4</v>
      </c>
      <c r="E26" s="755">
        <f t="shared" si="2"/>
        <v>0.10716396393686545</v>
      </c>
      <c r="F26" s="58">
        <f t="shared" si="3"/>
        <v>265</v>
      </c>
      <c r="G26" s="742">
        <f t="shared" si="4"/>
        <v>2.8398450443269342E-5</v>
      </c>
      <c r="H26" s="754"/>
      <c r="J26" s="183"/>
      <c r="K26" s="686"/>
      <c r="L26" s="183"/>
      <c r="M26" s="698"/>
    </row>
    <row r="27" spans="2:13" ht="11.25" customHeight="1">
      <c r="B27" s="683" t="s">
        <v>458</v>
      </c>
      <c r="C27" s="58">
        <v>301.52722</v>
      </c>
      <c r="D27" s="694">
        <v>6.0138183599339984E-4</v>
      </c>
      <c r="E27" s="755">
        <f t="shared" si="2"/>
        <v>0.18133299316558579</v>
      </c>
      <c r="F27" s="58">
        <f t="shared" si="3"/>
        <v>265</v>
      </c>
      <c r="G27" s="742">
        <f t="shared" si="4"/>
        <v>4.8053243188880236E-5</v>
      </c>
      <c r="H27" s="754"/>
      <c r="J27" s="183"/>
      <c r="K27" s="686"/>
      <c r="L27" s="183"/>
      <c r="M27" s="698"/>
    </row>
    <row r="28" spans="2:13" ht="11.25" customHeight="1">
      <c r="B28" s="683" t="s">
        <v>399</v>
      </c>
      <c r="C28" s="58">
        <v>65040.950519999999</v>
      </c>
      <c r="D28" s="694">
        <v>9.4955026735800017E-5</v>
      </c>
      <c r="E28" s="755">
        <f t="shared" si="2"/>
        <v>6.1759651955484456</v>
      </c>
      <c r="F28" s="58">
        <f t="shared" si="3"/>
        <v>265</v>
      </c>
      <c r="G28" s="742">
        <f t="shared" si="4"/>
        <v>1.6366307768203381E-3</v>
      </c>
      <c r="H28" s="754"/>
      <c r="J28" s="183"/>
      <c r="K28" s="686"/>
      <c r="L28" s="183"/>
      <c r="M28" s="698"/>
    </row>
    <row r="29" spans="2:13" ht="11.25" customHeight="1">
      <c r="B29" s="683" t="s">
        <v>755</v>
      </c>
      <c r="C29" s="58">
        <v>2101.198550000001</v>
      </c>
      <c r="D29" s="694">
        <v>3.7982010694320003E-3</v>
      </c>
      <c r="E29" s="755">
        <f t="shared" si="2"/>
        <v>7.9807745796989717</v>
      </c>
      <c r="F29" s="58">
        <f t="shared" si="3"/>
        <v>265</v>
      </c>
      <c r="G29" s="742">
        <f t="shared" si="4"/>
        <v>2.1149052636202275E-3</v>
      </c>
      <c r="H29" s="754"/>
      <c r="J29" s="183"/>
      <c r="K29" s="686"/>
      <c r="L29" s="183"/>
      <c r="M29" s="698"/>
    </row>
    <row r="30" spans="2:13" ht="12" customHeight="1">
      <c r="B30" s="217"/>
      <c r="C30" s="756"/>
      <c r="D30" s="218"/>
      <c r="E30" s="218"/>
      <c r="F30" s="757" t="s">
        <v>152</v>
      </c>
      <c r="G30" s="758">
        <f>SUM(G22:G29)</f>
        <v>6.1226027609481599E-3</v>
      </c>
      <c r="H30" s="14"/>
      <c r="J30" s="183"/>
      <c r="K30" s="707"/>
      <c r="L30" s="183"/>
      <c r="M30" s="708"/>
    </row>
    <row r="31" spans="2:13" ht="12" customHeight="1">
      <c r="J31" s="14"/>
      <c r="K31" s="14"/>
      <c r="L31" s="14"/>
      <c r="M31" s="14"/>
    </row>
    <row r="32" spans="2:13" ht="12" customHeight="1"/>
    <row r="33" spans="2:13" ht="21.75" customHeight="1">
      <c r="B33" s="726" t="s">
        <v>775</v>
      </c>
      <c r="C33" s="727"/>
      <c r="D33" s="727"/>
      <c r="E33" s="729">
        <v>2006</v>
      </c>
      <c r="F33" s="176"/>
      <c r="G33" s="175"/>
      <c r="H33" s="14"/>
      <c r="I33" s="14"/>
      <c r="J33" s="14"/>
      <c r="K33" s="14"/>
      <c r="L33" s="14"/>
      <c r="M33" s="14"/>
    </row>
    <row r="34" spans="2:13" ht="12" customHeight="1">
      <c r="B34" s="182"/>
      <c r="C34" s="14"/>
      <c r="D34" s="14"/>
      <c r="E34" s="14"/>
      <c r="F34" s="14"/>
      <c r="G34" s="197"/>
      <c r="H34" s="14"/>
      <c r="I34" s="14"/>
      <c r="J34" s="14"/>
      <c r="K34" s="14"/>
      <c r="L34" s="14"/>
      <c r="M34" s="307"/>
    </row>
    <row r="35" spans="2:13" ht="11.25" customHeight="1">
      <c r="B35" s="759"/>
      <c r="C35" s="760" t="s">
        <v>68</v>
      </c>
      <c r="D35" s="760" t="s">
        <v>451</v>
      </c>
      <c r="E35" s="760" t="s">
        <v>95</v>
      </c>
      <c r="F35" s="760" t="s">
        <v>452</v>
      </c>
      <c r="G35" s="761" t="s">
        <v>95</v>
      </c>
      <c r="H35" s="14"/>
      <c r="I35" s="14"/>
      <c r="J35" s="14"/>
      <c r="K35" s="307"/>
      <c r="L35" s="14"/>
      <c r="M35" s="14"/>
    </row>
    <row r="36" spans="2:13" ht="12" customHeight="1">
      <c r="B36" s="762" t="s">
        <v>238</v>
      </c>
      <c r="C36" s="763" t="s">
        <v>453</v>
      </c>
      <c r="D36" s="763" t="s">
        <v>454</v>
      </c>
      <c r="E36" s="763" t="s">
        <v>455</v>
      </c>
      <c r="F36" s="763"/>
      <c r="G36" s="764" t="s">
        <v>776</v>
      </c>
      <c r="H36" s="307"/>
      <c r="I36" s="14"/>
      <c r="J36" s="14"/>
      <c r="K36" s="307"/>
      <c r="L36" s="14"/>
      <c r="M36" s="14"/>
    </row>
    <row r="37" spans="2:13" ht="11.25" customHeight="1">
      <c r="B37" s="736" t="s">
        <v>253</v>
      </c>
      <c r="C37" s="737">
        <v>951.31425000000002</v>
      </c>
      <c r="D37" s="752">
        <v>1.0023030599889999E-2</v>
      </c>
      <c r="E37" s="765">
        <f t="shared" ref="E37:E44" si="5">C37*D37</f>
        <v>9.5350518378614044</v>
      </c>
      <c r="F37" s="737">
        <f t="shared" ref="F37:F44" si="6">$K$8</f>
        <v>28</v>
      </c>
      <c r="G37" s="766">
        <f t="shared" ref="G37:G44" si="7">E37*F37/1000000</f>
        <v>2.6698145146011935E-4</v>
      </c>
      <c r="H37" s="754"/>
      <c r="I37" s="14"/>
      <c r="J37" s="183"/>
      <c r="K37" s="686"/>
      <c r="L37" s="183"/>
      <c r="M37" s="698"/>
    </row>
    <row r="38" spans="2:13" ht="11.25" customHeight="1">
      <c r="B38" s="736" t="s">
        <v>457</v>
      </c>
      <c r="C38" s="58">
        <v>10493.920109999999</v>
      </c>
      <c r="D38" s="694">
        <v>1.0023030599889999E-2</v>
      </c>
      <c r="E38" s="767">
        <f t="shared" si="5"/>
        <v>105.18088237533102</v>
      </c>
      <c r="F38" s="58">
        <f t="shared" si="6"/>
        <v>28</v>
      </c>
      <c r="G38" s="768">
        <f t="shared" si="7"/>
        <v>2.9450647065092685E-3</v>
      </c>
      <c r="H38" s="754"/>
      <c r="I38" s="14"/>
      <c r="J38" s="183"/>
      <c r="K38" s="686"/>
      <c r="L38" s="183"/>
      <c r="M38" s="698"/>
    </row>
    <row r="39" spans="2:13" ht="11.25" customHeight="1">
      <c r="B39" s="736" t="s">
        <v>376</v>
      </c>
      <c r="C39" s="58">
        <v>353.45787999999999</v>
      </c>
      <c r="D39" s="694">
        <v>1.0023030599889999E-2</v>
      </c>
      <c r="E39" s="767">
        <f t="shared" si="5"/>
        <v>3.5427191470122472</v>
      </c>
      <c r="F39" s="58">
        <f t="shared" si="6"/>
        <v>28</v>
      </c>
      <c r="G39" s="768">
        <f t="shared" si="7"/>
        <v>9.9196136116342932E-5</v>
      </c>
      <c r="H39" s="754"/>
      <c r="I39" s="14"/>
      <c r="J39" s="183"/>
      <c r="K39" s="686"/>
      <c r="L39" s="183"/>
      <c r="M39" s="698"/>
    </row>
    <row r="40" spans="2:13" ht="11.25" customHeight="1">
      <c r="B40" s="736" t="s">
        <v>709</v>
      </c>
      <c r="C40" s="58">
        <v>1172.7171000000001</v>
      </c>
      <c r="D40" s="694">
        <v>1.0023030599889999E-2</v>
      </c>
      <c r="E40" s="767">
        <f t="shared" si="5"/>
        <v>11.754179378314261</v>
      </c>
      <c r="F40" s="58">
        <f t="shared" si="6"/>
        <v>28</v>
      </c>
      <c r="G40" s="768">
        <f t="shared" si="7"/>
        <v>3.2911702259279929E-4</v>
      </c>
      <c r="H40" s="754"/>
      <c r="I40" s="14"/>
      <c r="J40" s="183"/>
      <c r="K40" s="686"/>
      <c r="L40" s="183"/>
      <c r="M40" s="698"/>
    </row>
    <row r="41" spans="2:13" ht="11.25" customHeight="1">
      <c r="B41" s="736" t="s">
        <v>633</v>
      </c>
      <c r="C41" s="58">
        <v>178.19621000000001</v>
      </c>
      <c r="D41" s="694">
        <v>1.0023030599889999E-2</v>
      </c>
      <c r="E41" s="767">
        <f t="shared" si="5"/>
        <v>1.7860660656144243</v>
      </c>
      <c r="F41" s="58">
        <f t="shared" si="6"/>
        <v>28</v>
      </c>
      <c r="G41" s="768">
        <f t="shared" si="7"/>
        <v>5.000984983720388E-5</v>
      </c>
      <c r="H41" s="754"/>
      <c r="I41" s="14"/>
      <c r="J41" s="183"/>
      <c r="K41" s="686"/>
      <c r="L41" s="183"/>
      <c r="M41" s="698"/>
    </row>
    <row r="42" spans="2:13" ht="11.25" customHeight="1">
      <c r="B42" s="736" t="s">
        <v>458</v>
      </c>
      <c r="C42" s="58">
        <v>301.52722</v>
      </c>
      <c r="D42" s="694">
        <v>1.0023030599889999E-2</v>
      </c>
      <c r="E42" s="767">
        <f t="shared" si="5"/>
        <v>3.022216552759764</v>
      </c>
      <c r="F42" s="58">
        <f t="shared" si="6"/>
        <v>28</v>
      </c>
      <c r="G42" s="768">
        <f t="shared" si="7"/>
        <v>8.4622063477273382E-5</v>
      </c>
      <c r="H42" s="754"/>
      <c r="I42" s="14"/>
      <c r="J42" s="183"/>
      <c r="K42" s="686"/>
      <c r="L42" s="183"/>
      <c r="M42" s="698"/>
    </row>
    <row r="43" spans="2:13" ht="11.25" customHeight="1">
      <c r="B43" s="736" t="s">
        <v>399</v>
      </c>
      <c r="C43" s="58">
        <v>65040.950519999999</v>
      </c>
      <c r="D43" s="694">
        <v>4.7477513367900001E-3</v>
      </c>
      <c r="E43" s="767">
        <f t="shared" si="5"/>
        <v>308.79825977742223</v>
      </c>
      <c r="F43" s="58">
        <f t="shared" si="6"/>
        <v>28</v>
      </c>
      <c r="G43" s="768">
        <f t="shared" si="7"/>
        <v>8.6463512737678227E-3</v>
      </c>
      <c r="H43" s="754"/>
      <c r="I43" s="14"/>
      <c r="J43" s="183"/>
      <c r="K43" s="686"/>
      <c r="L43" s="183"/>
      <c r="M43" s="698"/>
    </row>
    <row r="44" spans="2:13" ht="12" customHeight="1">
      <c r="B44" s="736" t="s">
        <v>755</v>
      </c>
      <c r="C44" s="58">
        <v>2101.198550000001</v>
      </c>
      <c r="D44" s="694">
        <v>0.28486508020740003</v>
      </c>
      <c r="E44" s="767">
        <f t="shared" si="5"/>
        <v>598.55809347742297</v>
      </c>
      <c r="F44" s="58">
        <f t="shared" si="6"/>
        <v>28</v>
      </c>
      <c r="G44" s="769">
        <f t="shared" si="7"/>
        <v>1.6759626617367844E-2</v>
      </c>
      <c r="H44" s="754"/>
      <c r="I44" s="14"/>
      <c r="J44" s="183"/>
      <c r="K44" s="686"/>
      <c r="L44" s="183"/>
      <c r="M44" s="698"/>
    </row>
    <row r="45" spans="2:13" ht="12" customHeight="1">
      <c r="B45" s="217"/>
      <c r="C45" s="218"/>
      <c r="D45" s="218"/>
      <c r="E45" s="218"/>
      <c r="F45" s="770" t="s">
        <v>152</v>
      </c>
      <c r="G45" s="771">
        <f>SUM(G37:G44)</f>
        <v>2.9180969121128674E-2</v>
      </c>
      <c r="H45" s="14"/>
      <c r="I45" s="14"/>
      <c r="J45" s="183"/>
      <c r="K45" s="707"/>
      <c r="L45" s="183"/>
      <c r="M45" s="708"/>
    </row>
    <row r="46" spans="2:13" ht="12" customHeight="1"/>
    <row r="47" spans="2:13" ht="12" customHeight="1"/>
    <row r="48" spans="2:13" ht="21.75" customHeight="1">
      <c r="B48" s="772" t="s">
        <v>777</v>
      </c>
      <c r="C48" s="773"/>
      <c r="D48" s="773"/>
      <c r="E48" s="714"/>
    </row>
    <row r="49" spans="2:7" ht="11.25" customHeight="1"/>
    <row r="50" spans="2:7" ht="12" customHeight="1"/>
    <row r="51" spans="2:7" ht="15" customHeight="1">
      <c r="B51" s="774"/>
      <c r="C51" s="775"/>
      <c r="D51" s="776" t="s">
        <v>778</v>
      </c>
      <c r="E51" s="776" t="s">
        <v>779</v>
      </c>
      <c r="F51" s="776" t="s">
        <v>780</v>
      </c>
      <c r="G51" s="777" t="s">
        <v>781</v>
      </c>
    </row>
    <row r="52" spans="2:7" ht="11.25" customHeight="1">
      <c r="B52" s="778"/>
      <c r="C52" s="779" t="s">
        <v>68</v>
      </c>
      <c r="D52" s="681" t="s">
        <v>95</v>
      </c>
      <c r="E52" s="681" t="s">
        <v>95</v>
      </c>
      <c r="F52" s="681" t="s">
        <v>95</v>
      </c>
      <c r="G52" s="682" t="s">
        <v>95</v>
      </c>
    </row>
    <row r="53" spans="2:7" ht="11.25" customHeight="1">
      <c r="B53" s="780" t="s">
        <v>238</v>
      </c>
      <c r="C53" s="779" t="s">
        <v>453</v>
      </c>
      <c r="D53" s="781" t="s">
        <v>782</v>
      </c>
      <c r="E53" s="781" t="s">
        <v>783</v>
      </c>
      <c r="F53" s="781" t="s">
        <v>784</v>
      </c>
      <c r="G53" s="782" t="s">
        <v>785</v>
      </c>
    </row>
    <row r="54" spans="2:7" ht="11.25" customHeight="1">
      <c r="B54" s="783" t="s">
        <v>253</v>
      </c>
      <c r="C54" s="58">
        <f t="shared" ref="C54:C60" si="8">C8</f>
        <v>951.31425000000002</v>
      </c>
      <c r="D54" s="639">
        <f t="shared" ref="D54:D60" si="9">G8</f>
        <v>8.9856940768117802E-2</v>
      </c>
      <c r="E54" s="784">
        <f t="shared" ref="E54:E61" si="10">G37</f>
        <v>2.6698145146011935E-4</v>
      </c>
      <c r="F54" s="639">
        <f t="shared" ref="F54:F61" si="11">G22</f>
        <v>3.7901831055499086E-4</v>
      </c>
      <c r="G54" s="785">
        <f t="shared" ref="G54:G61" si="12">D54+E54+F54</f>
        <v>9.0502940530132914E-2</v>
      </c>
    </row>
    <row r="55" spans="2:7" ht="11.25" customHeight="1">
      <c r="B55" s="783" t="s">
        <v>457</v>
      </c>
      <c r="C55" s="58">
        <f t="shared" si="8"/>
        <v>10493.920109999999</v>
      </c>
      <c r="D55" s="639">
        <f t="shared" si="9"/>
        <v>0.76693702167429922</v>
      </c>
      <c r="E55" s="784">
        <f t="shared" si="10"/>
        <v>2.9450647065092685E-3</v>
      </c>
      <c r="F55" s="639">
        <f t="shared" si="11"/>
        <v>1.6723760297677628E-3</v>
      </c>
      <c r="G55" s="785">
        <f t="shared" si="12"/>
        <v>0.77155446241057624</v>
      </c>
    </row>
    <row r="56" spans="2:7" ht="11.25" customHeight="1">
      <c r="B56" s="783" t="s">
        <v>376</v>
      </c>
      <c r="C56" s="58">
        <f t="shared" si="8"/>
        <v>353.45787999999999</v>
      </c>
      <c r="D56" s="639">
        <f t="shared" si="9"/>
        <v>2.5534280673622067E-2</v>
      </c>
      <c r="E56" s="784">
        <f t="shared" si="10"/>
        <v>9.9196136116342932E-5</v>
      </c>
      <c r="F56" s="639">
        <f t="shared" si="11"/>
        <v>5.6329234437494722E-5</v>
      </c>
      <c r="G56" s="785">
        <f t="shared" si="12"/>
        <v>2.5689806044175905E-2</v>
      </c>
    </row>
    <row r="57" spans="2:7" ht="11.25" customHeight="1">
      <c r="B57" s="783" t="s">
        <v>709</v>
      </c>
      <c r="C57" s="58">
        <f t="shared" si="8"/>
        <v>1172.7171000000001</v>
      </c>
      <c r="D57" s="639">
        <f t="shared" si="9"/>
        <v>7.3932506034974005E-2</v>
      </c>
      <c r="E57" s="784">
        <f t="shared" si="10"/>
        <v>3.2911702259279929E-4</v>
      </c>
      <c r="F57" s="639">
        <f t="shared" si="11"/>
        <v>1.8689145211519672E-4</v>
      </c>
      <c r="G57" s="785">
        <f t="shared" si="12"/>
        <v>7.4448514509681998E-2</v>
      </c>
    </row>
    <row r="58" spans="2:7" ht="11.25" customHeight="1">
      <c r="B58" s="783" t="s">
        <v>633</v>
      </c>
      <c r="C58" s="58">
        <f t="shared" si="8"/>
        <v>170.91419000000002</v>
      </c>
      <c r="D58" s="639">
        <f t="shared" si="9"/>
        <v>1.2115838363002087E-2</v>
      </c>
      <c r="E58" s="784">
        <f t="shared" si="10"/>
        <v>5.000984983720388E-5</v>
      </c>
      <c r="F58" s="639">
        <f t="shared" si="11"/>
        <v>2.8398450443269342E-5</v>
      </c>
      <c r="G58" s="785">
        <f t="shared" si="12"/>
        <v>1.2194246663282561E-2</v>
      </c>
    </row>
    <row r="59" spans="2:7" ht="11.25" customHeight="1">
      <c r="B59" s="783" t="s">
        <v>458</v>
      </c>
      <c r="C59" s="58">
        <f t="shared" si="8"/>
        <v>301.52722</v>
      </c>
      <c r="D59" s="639">
        <f t="shared" si="9"/>
        <v>2.3737883172719174E-2</v>
      </c>
      <c r="E59" s="784">
        <f t="shared" si="10"/>
        <v>8.4622063477273382E-5</v>
      </c>
      <c r="F59" s="639">
        <f t="shared" si="11"/>
        <v>4.8053243188880236E-5</v>
      </c>
      <c r="G59" s="785">
        <f t="shared" si="12"/>
        <v>2.387055847938533E-2</v>
      </c>
    </row>
    <row r="60" spans="2:7" ht="11.25" customHeight="1">
      <c r="B60" s="783" t="s">
        <v>399</v>
      </c>
      <c r="C60" s="58">
        <f t="shared" si="8"/>
        <v>65040.950519999999</v>
      </c>
      <c r="D60" s="639">
        <f t="shared" si="9"/>
        <v>3.4477396195882544</v>
      </c>
      <c r="E60" s="784">
        <f t="shared" si="10"/>
        <v>8.6463512737678227E-3</v>
      </c>
      <c r="F60" s="639">
        <f t="shared" si="11"/>
        <v>1.6366307768203381E-3</v>
      </c>
      <c r="G60" s="785">
        <f t="shared" si="12"/>
        <v>3.4580226016388429</v>
      </c>
    </row>
    <row r="61" spans="2:7" ht="12" customHeight="1">
      <c r="B61" s="783" t="s">
        <v>755</v>
      </c>
      <c r="C61" s="58">
        <f>C44</f>
        <v>2101.198550000001</v>
      </c>
      <c r="D61" s="786">
        <v>0</v>
      </c>
      <c r="E61" s="784">
        <f t="shared" si="10"/>
        <v>1.6759626617367844E-2</v>
      </c>
      <c r="F61" s="639">
        <f t="shared" si="11"/>
        <v>2.1149052636202275E-3</v>
      </c>
      <c r="G61" s="787">
        <f t="shared" si="12"/>
        <v>1.8874531880988071E-2</v>
      </c>
    </row>
    <row r="62" spans="2:7" ht="12" customHeight="1">
      <c r="B62" s="704"/>
      <c r="C62" s="687"/>
      <c r="D62" s="687"/>
      <c r="E62" s="687"/>
      <c r="F62" s="770" t="s">
        <v>152</v>
      </c>
      <c r="G62" s="788">
        <f>SUM(G54:G61)</f>
        <v>4.4751576621570663</v>
      </c>
    </row>
    <row r="63" spans="2:7" ht="12" customHeight="1"/>
    <row r="64" spans="2:7" ht="11.25" customHeight="1"/>
    <row r="65" spans="2:2" ht="11.25" customHeight="1"/>
    <row r="66" spans="2:2" ht="11.25" customHeight="1"/>
    <row r="67" spans="2:2" ht="11.25" customHeight="1"/>
    <row r="68" spans="2:2" ht="11.25" customHeight="1"/>
    <row r="69" spans="2:2" ht="11.25" customHeight="1">
      <c r="B69" s="46" t="s">
        <v>767</v>
      </c>
    </row>
    <row r="70" spans="2:2" ht="11.25" customHeight="1"/>
    <row r="71" spans="2:2" ht="11.25" customHeight="1"/>
    <row r="72" spans="2:2" ht="11.25" customHeight="1"/>
    <row r="73" spans="2:2" ht="11.25" customHeight="1">
      <c r="B73" s="46" t="s">
        <v>768</v>
      </c>
    </row>
    <row r="74" spans="2:2" ht="11.25" customHeight="1"/>
    <row r="75" spans="2:2" ht="11.25" customHeight="1"/>
    <row r="76" spans="2:2" ht="11.25" customHeight="1"/>
    <row r="77" spans="2:2" ht="11.25" customHeight="1"/>
    <row r="78" spans="2:2" ht="11.25" customHeight="1"/>
    <row r="79" spans="2:2" ht="11.25" customHeight="1"/>
    <row r="80" spans="2:2"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J5:K5"/>
  </mergeCells>
  <pageMargins left="0.7" right="0.7" top="0.75" bottom="0.75" header="0" footer="0"/>
  <pageSetup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000"/>
  <sheetViews>
    <sheetView workbookViewId="0"/>
  </sheetViews>
  <sheetFormatPr defaultColWidth="16.85546875" defaultRowHeight="15" customHeight="1"/>
  <cols>
    <col min="1" max="1" width="8" customWidth="1"/>
    <col min="2" max="2" width="22.42578125" customWidth="1"/>
    <col min="3" max="3" width="17.85546875" customWidth="1"/>
    <col min="4" max="4" width="19.28515625" customWidth="1"/>
    <col min="5" max="5" width="22" customWidth="1"/>
    <col min="6" max="6" width="17.85546875" customWidth="1"/>
    <col min="7" max="7" width="20.28515625" customWidth="1"/>
    <col min="8" max="8" width="15.140625" customWidth="1"/>
    <col min="9" max="9" width="19.28515625" customWidth="1"/>
    <col min="10" max="10" width="17.140625" customWidth="1"/>
    <col min="11" max="26" width="8" customWidth="1"/>
  </cols>
  <sheetData>
    <row r="1" spans="1:26" ht="36" customHeight="1">
      <c r="A1" s="17" t="s">
        <v>786</v>
      </c>
      <c r="B1" s="17"/>
      <c r="C1" s="1"/>
      <c r="D1" s="1"/>
      <c r="E1" s="1"/>
      <c r="F1" s="13"/>
      <c r="G1" s="1"/>
      <c r="H1" s="1"/>
      <c r="I1" s="1"/>
      <c r="J1" s="1"/>
      <c r="K1" s="1"/>
      <c r="L1" s="1"/>
      <c r="M1" s="1"/>
      <c r="N1" s="1"/>
      <c r="O1" s="1"/>
      <c r="P1" s="1"/>
      <c r="Q1" s="1"/>
      <c r="R1" s="1"/>
      <c r="S1" s="1"/>
      <c r="T1" s="1"/>
      <c r="U1" s="1"/>
      <c r="V1" s="1"/>
      <c r="W1" s="1"/>
      <c r="X1" s="1"/>
      <c r="Y1" s="1"/>
      <c r="Z1" s="1"/>
    </row>
    <row r="2" spans="1:26" ht="80.25" customHeight="1">
      <c r="A2" s="1684"/>
      <c r="B2" s="1660"/>
      <c r="C2" s="1660"/>
      <c r="D2" s="1660"/>
      <c r="E2" s="1660"/>
      <c r="F2" s="1660"/>
      <c r="G2" s="1660"/>
      <c r="H2" s="1660"/>
      <c r="I2" s="1660"/>
      <c r="J2" s="1660"/>
      <c r="K2" s="1"/>
      <c r="L2" s="1"/>
      <c r="M2" s="1"/>
      <c r="N2" s="1"/>
      <c r="O2" s="1"/>
      <c r="P2" s="1"/>
      <c r="Q2" s="1"/>
      <c r="R2" s="1"/>
      <c r="S2" s="1"/>
      <c r="T2" s="1"/>
      <c r="U2" s="1"/>
      <c r="V2" s="1"/>
      <c r="W2" s="1"/>
      <c r="X2" s="1"/>
      <c r="Y2" s="1"/>
      <c r="Z2" s="1"/>
    </row>
    <row r="3" spans="1:26" ht="11.25" customHeight="1"/>
    <row r="4" spans="1:26" ht="21.75" customHeight="1">
      <c r="B4" s="689" t="s">
        <v>787</v>
      </c>
      <c r="C4" s="789"/>
      <c r="D4" s="689">
        <v>2006</v>
      </c>
      <c r="E4" s="1"/>
      <c r="F4" s="1"/>
      <c r="G4" s="1"/>
      <c r="H4" s="1"/>
      <c r="I4" s="1"/>
      <c r="J4" s="1"/>
      <c r="K4" s="1"/>
      <c r="L4" s="1"/>
      <c r="M4" s="1"/>
      <c r="N4" s="1"/>
      <c r="O4" s="1"/>
      <c r="P4" s="14"/>
    </row>
    <row r="5" spans="1:26" ht="21.75" customHeight="1">
      <c r="B5" s="790"/>
      <c r="C5" s="791" t="s">
        <v>788</v>
      </c>
      <c r="D5" s="791" t="s">
        <v>715</v>
      </c>
      <c r="E5" s="792"/>
      <c r="F5" s="791" t="s">
        <v>716</v>
      </c>
      <c r="G5" s="792"/>
      <c r="H5" s="792"/>
      <c r="I5" s="792"/>
      <c r="J5" s="793"/>
      <c r="K5" s="1"/>
      <c r="L5" s="1"/>
      <c r="M5" s="1"/>
      <c r="N5" s="1"/>
      <c r="O5" s="1"/>
      <c r="P5" s="14"/>
    </row>
    <row r="6" spans="1:26" ht="11.25" customHeight="1">
      <c r="B6" s="794"/>
      <c r="C6" s="795" t="s">
        <v>68</v>
      </c>
      <c r="D6" s="795" t="s">
        <v>68</v>
      </c>
      <c r="E6" s="796"/>
      <c r="F6" s="795" t="s">
        <v>68</v>
      </c>
      <c r="G6" s="795" t="s">
        <v>451</v>
      </c>
      <c r="H6" s="795" t="s">
        <v>558</v>
      </c>
      <c r="I6" s="681" t="s">
        <v>95</v>
      </c>
      <c r="J6" s="682" t="s">
        <v>95</v>
      </c>
      <c r="K6" s="1"/>
      <c r="L6" s="14"/>
      <c r="M6" s="1"/>
      <c r="N6" s="307"/>
      <c r="O6" s="1"/>
      <c r="P6" s="14"/>
    </row>
    <row r="7" spans="1:26" ht="11.25" customHeight="1">
      <c r="B7" s="797" t="s">
        <v>238</v>
      </c>
      <c r="C7" s="798" t="s">
        <v>453</v>
      </c>
      <c r="D7" s="798" t="s">
        <v>453</v>
      </c>
      <c r="E7" s="798" t="s">
        <v>717</v>
      </c>
      <c r="F7" s="798" t="s">
        <v>453</v>
      </c>
      <c r="G7" s="798" t="s">
        <v>559</v>
      </c>
      <c r="H7" s="798" t="s">
        <v>560</v>
      </c>
      <c r="I7" s="798" t="s">
        <v>561</v>
      </c>
      <c r="J7" s="782" t="s">
        <v>789</v>
      </c>
      <c r="K7" s="630"/>
      <c r="L7" s="14"/>
      <c r="M7" s="1"/>
      <c r="N7" s="630"/>
      <c r="O7" s="1"/>
      <c r="P7" s="14"/>
    </row>
    <row r="8" spans="1:26" ht="12.75" customHeight="1">
      <c r="B8" s="799" t="s">
        <v>790</v>
      </c>
      <c r="C8" s="800">
        <v>0</v>
      </c>
      <c r="D8" s="800">
        <v>0</v>
      </c>
      <c r="E8" s="801">
        <v>0.1</v>
      </c>
      <c r="F8" s="802">
        <f t="shared" ref="F8:F29" si="0">C8-(D8*E8)</f>
        <v>0</v>
      </c>
      <c r="G8" s="803">
        <v>56.195454545454538</v>
      </c>
      <c r="H8" s="804">
        <v>1</v>
      </c>
      <c r="I8" s="516">
        <f t="shared" ref="I8:I10" si="1">(F8*1000*G8*H8)/2000</f>
        <v>0</v>
      </c>
      <c r="J8" s="805">
        <f t="shared" ref="J8:J29" si="2">I8*(44/12)*0.90718/1000000</f>
        <v>0</v>
      </c>
      <c r="K8" s="637"/>
      <c r="L8" s="14"/>
      <c r="M8" s="806"/>
      <c r="N8" s="686"/>
      <c r="O8" s="806"/>
      <c r="P8" s="14"/>
    </row>
    <row r="9" spans="1:26" ht="11.25" customHeight="1">
      <c r="B9" s="799" t="s">
        <v>791</v>
      </c>
      <c r="C9" s="800">
        <v>30430.66779</v>
      </c>
      <c r="D9" s="800">
        <v>307.25402853954921</v>
      </c>
      <c r="E9" s="801">
        <v>0</v>
      </c>
      <c r="F9" s="802">
        <f t="shared" si="0"/>
        <v>30430.66779</v>
      </c>
      <c r="G9" s="803">
        <v>56.852727272727272</v>
      </c>
      <c r="H9" s="804">
        <v>1</v>
      </c>
      <c r="I9" s="516">
        <f t="shared" si="1"/>
        <v>865033.22829591809</v>
      </c>
      <c r="J9" s="807">
        <f t="shared" si="2"/>
        <v>2.8773830948334669</v>
      </c>
      <c r="K9" s="637"/>
      <c r="L9" s="14"/>
      <c r="M9" s="806"/>
      <c r="N9" s="686"/>
      <c r="O9" s="806"/>
      <c r="P9" s="14"/>
    </row>
    <row r="10" spans="1:26" ht="11.25" customHeight="1">
      <c r="B10" s="799" t="s">
        <v>792</v>
      </c>
      <c r="C10" s="800">
        <v>19576.189249999999</v>
      </c>
      <c r="D10" s="800">
        <v>19576.189249999999</v>
      </c>
      <c r="E10" s="801">
        <v>1</v>
      </c>
      <c r="F10" s="802">
        <f t="shared" si="0"/>
        <v>0</v>
      </c>
      <c r="G10" s="803">
        <v>45.418502202643168</v>
      </c>
      <c r="H10" s="804">
        <v>1</v>
      </c>
      <c r="I10" s="516">
        <f t="shared" si="1"/>
        <v>0</v>
      </c>
      <c r="J10" s="807">
        <f t="shared" si="2"/>
        <v>0</v>
      </c>
      <c r="K10" s="637"/>
      <c r="L10" s="14"/>
      <c r="M10" s="806"/>
      <c r="N10" s="686"/>
      <c r="O10" s="806"/>
      <c r="P10" s="14"/>
    </row>
    <row r="11" spans="1:26" ht="18.75" customHeight="1">
      <c r="B11" s="808" t="s">
        <v>793</v>
      </c>
      <c r="C11" s="800">
        <v>0</v>
      </c>
      <c r="D11" s="800">
        <v>0</v>
      </c>
      <c r="E11" s="801">
        <v>0</v>
      </c>
      <c r="F11" s="802">
        <f t="shared" si="0"/>
        <v>0</v>
      </c>
      <c r="G11" s="803">
        <v>41.563876651982376</v>
      </c>
      <c r="H11" s="804">
        <v>1</v>
      </c>
      <c r="I11" s="516">
        <f t="shared" ref="I11:I12" si="3">F11*G11*H11/2000</f>
        <v>0</v>
      </c>
      <c r="J11" s="807">
        <f t="shared" si="2"/>
        <v>0</v>
      </c>
      <c r="K11" s="637"/>
      <c r="L11" s="14"/>
      <c r="M11" s="806"/>
      <c r="N11" s="686"/>
      <c r="O11" s="806"/>
      <c r="P11" s="14"/>
    </row>
    <row r="12" spans="1:26" ht="11.25" customHeight="1">
      <c r="B12" s="808" t="s">
        <v>794</v>
      </c>
      <c r="C12" s="800">
        <v>0</v>
      </c>
      <c r="D12" s="800">
        <v>0</v>
      </c>
      <c r="E12" s="801">
        <v>0</v>
      </c>
      <c r="F12" s="802">
        <f t="shared" si="0"/>
        <v>0</v>
      </c>
      <c r="G12" s="809">
        <v>44.823453232864388</v>
      </c>
      <c r="H12" s="804">
        <v>1</v>
      </c>
      <c r="I12" s="516">
        <f t="shared" si="3"/>
        <v>0</v>
      </c>
      <c r="J12" s="807">
        <f t="shared" si="2"/>
        <v>0</v>
      </c>
      <c r="K12" s="637"/>
      <c r="L12" s="14"/>
      <c r="M12" s="806"/>
      <c r="N12" s="686"/>
      <c r="O12" s="806"/>
      <c r="P12" s="14"/>
    </row>
    <row r="13" spans="1:26" ht="11.25" customHeight="1">
      <c r="B13" s="799" t="s">
        <v>457</v>
      </c>
      <c r="C13" s="800">
        <v>12446.073039999999</v>
      </c>
      <c r="D13" s="800">
        <v>118.8273577409505</v>
      </c>
      <c r="E13" s="801">
        <v>0.5</v>
      </c>
      <c r="F13" s="802">
        <f t="shared" si="0"/>
        <v>12386.659361129525</v>
      </c>
      <c r="G13" s="803">
        <v>43.942731277533035</v>
      </c>
      <c r="H13" s="804">
        <v>1</v>
      </c>
      <c r="I13" s="516">
        <f t="shared" ref="I13:I19" si="4">(F13*1000*G13*H13)/2000</f>
        <v>272151.82186622685</v>
      </c>
      <c r="J13" s="807">
        <f t="shared" si="2"/>
        <v>0.90526586245554674</v>
      </c>
      <c r="K13" s="637"/>
      <c r="L13" s="14"/>
      <c r="M13" s="806"/>
      <c r="N13" s="686"/>
      <c r="O13" s="806"/>
      <c r="P13" s="14"/>
    </row>
    <row r="14" spans="1:26" ht="18.75" customHeight="1">
      <c r="B14" s="808" t="s">
        <v>795</v>
      </c>
      <c r="C14" s="800">
        <v>726.11391000000003</v>
      </c>
      <c r="D14" s="800">
        <v>715.1466275548712</v>
      </c>
      <c r="E14" s="801">
        <v>0.61918625610433442</v>
      </c>
      <c r="F14" s="802">
        <f t="shared" si="0"/>
        <v>283.3049471186585</v>
      </c>
      <c r="G14" s="803">
        <v>39.955947136563871</v>
      </c>
      <c r="H14" s="804">
        <v>1</v>
      </c>
      <c r="I14" s="516">
        <f t="shared" si="4"/>
        <v>5659.858745300071</v>
      </c>
      <c r="J14" s="807">
        <f t="shared" si="2"/>
        <v>1.8826539074058166E-2</v>
      </c>
      <c r="K14" s="637"/>
      <c r="L14" s="14"/>
      <c r="M14" s="806"/>
      <c r="N14" s="686"/>
      <c r="O14" s="806"/>
      <c r="P14" s="14"/>
    </row>
    <row r="15" spans="1:26" ht="18.75" customHeight="1">
      <c r="B15" s="808" t="s">
        <v>796</v>
      </c>
      <c r="C15" s="800">
        <v>912.92358999999999</v>
      </c>
      <c r="D15" s="800">
        <v>661.47104106953759</v>
      </c>
      <c r="E15" s="801">
        <v>0.61918625610433442</v>
      </c>
      <c r="F15" s="802">
        <f t="shared" si="0"/>
        <v>503.34981255871656</v>
      </c>
      <c r="G15" s="803">
        <v>43.942731277533035</v>
      </c>
      <c r="H15" s="804">
        <v>1</v>
      </c>
      <c r="I15" s="516">
        <f t="shared" si="4"/>
        <v>11059.282775932152</v>
      </c>
      <c r="J15" s="807">
        <f t="shared" si="2"/>
        <v>3.6786787211790468E-2</v>
      </c>
      <c r="K15" s="637"/>
      <c r="L15" s="14"/>
      <c r="M15" s="806"/>
      <c r="N15" s="686"/>
      <c r="O15" s="806"/>
      <c r="P15" s="14"/>
    </row>
    <row r="16" spans="1:26" ht="11.25" customHeight="1">
      <c r="B16" s="799" t="s">
        <v>376</v>
      </c>
      <c r="C16" s="800">
        <v>172.24553</v>
      </c>
      <c r="D16" s="800">
        <v>0</v>
      </c>
      <c r="E16" s="801">
        <v>0</v>
      </c>
      <c r="F16" s="802">
        <f t="shared" si="0"/>
        <v>172.24553</v>
      </c>
      <c r="G16" s="803">
        <v>43.436123348017617</v>
      </c>
      <c r="H16" s="804">
        <v>1</v>
      </c>
      <c r="I16" s="516">
        <f t="shared" si="4"/>
        <v>3740.8390436123345</v>
      </c>
      <c r="J16" s="807">
        <f t="shared" si="2"/>
        <v>1.2443252666475536E-2</v>
      </c>
      <c r="K16" s="637"/>
      <c r="L16" s="14"/>
      <c r="M16" s="806"/>
      <c r="N16" s="686"/>
      <c r="O16" s="806"/>
      <c r="P16" s="14"/>
    </row>
    <row r="17" spans="2:16" ht="11.25" customHeight="1">
      <c r="B17" s="799" t="s">
        <v>709</v>
      </c>
      <c r="C17" s="800">
        <v>3241.0028299999999</v>
      </c>
      <c r="D17" s="800">
        <v>2263.7016790260022</v>
      </c>
      <c r="E17" s="801">
        <v>0.61918625610433442</v>
      </c>
      <c r="F17" s="802">
        <f t="shared" si="0"/>
        <v>1839.3498624267938</v>
      </c>
      <c r="G17" s="809">
        <v>37.454057213788957</v>
      </c>
      <c r="H17" s="804">
        <v>1</v>
      </c>
      <c r="I17" s="516">
        <f t="shared" si="4"/>
        <v>34445.557491753993</v>
      </c>
      <c r="J17" s="807">
        <f t="shared" si="2"/>
        <v>0.11457717643302107</v>
      </c>
      <c r="K17" s="637"/>
      <c r="L17" s="14"/>
      <c r="M17" s="806"/>
      <c r="N17" s="686"/>
      <c r="O17" s="806"/>
      <c r="P17" s="14"/>
    </row>
    <row r="18" spans="2:16" ht="11.25" customHeight="1">
      <c r="B18" s="799" t="s">
        <v>719</v>
      </c>
      <c r="C18" s="800">
        <v>2154.1493500000001</v>
      </c>
      <c r="D18" s="800">
        <v>2154.1493500000001</v>
      </c>
      <c r="E18" s="801">
        <v>9.2393732597307904E-2</v>
      </c>
      <c r="F18" s="802">
        <f t="shared" si="0"/>
        <v>1955.1194509814354</v>
      </c>
      <c r="G18" s="803">
        <v>44.581497797356818</v>
      </c>
      <c r="H18" s="804">
        <v>1</v>
      </c>
      <c r="I18" s="516">
        <f t="shared" si="4"/>
        <v>43581.076748749168</v>
      </c>
      <c r="J18" s="807">
        <f t="shared" si="2"/>
        <v>0.144964897751411</v>
      </c>
      <c r="K18" s="637"/>
      <c r="L18" s="14"/>
      <c r="M18" s="806"/>
      <c r="N18" s="686"/>
      <c r="O18" s="806"/>
      <c r="P18" s="14"/>
    </row>
    <row r="19" spans="2:16" ht="11.25" customHeight="1">
      <c r="B19" s="799" t="s">
        <v>633</v>
      </c>
      <c r="C19" s="800">
        <v>5174.2152900000001</v>
      </c>
      <c r="D19" s="800">
        <v>0</v>
      </c>
      <c r="E19" s="801">
        <v>0</v>
      </c>
      <c r="F19" s="802">
        <f t="shared" si="0"/>
        <v>5174.2152900000001</v>
      </c>
      <c r="G19" s="809">
        <v>42.62265</v>
      </c>
      <c r="H19" s="804">
        <v>1</v>
      </c>
      <c r="I19" s="516">
        <f t="shared" si="4"/>
        <v>110269.38366515926</v>
      </c>
      <c r="J19" s="807">
        <f t="shared" si="2"/>
        <v>0.36679199140231694</v>
      </c>
      <c r="K19" s="637"/>
      <c r="L19" s="14"/>
      <c r="M19" s="806"/>
      <c r="N19" s="686"/>
      <c r="O19" s="806"/>
      <c r="P19" s="14"/>
    </row>
    <row r="20" spans="2:16" ht="18.75" customHeight="1">
      <c r="B20" s="808" t="s">
        <v>797</v>
      </c>
      <c r="C20" s="800">
        <v>0</v>
      </c>
      <c r="D20" s="800">
        <v>0</v>
      </c>
      <c r="E20" s="801">
        <v>0</v>
      </c>
      <c r="F20" s="802">
        <f t="shared" si="0"/>
        <v>0</v>
      </c>
      <c r="G20" s="809">
        <v>42.62265</v>
      </c>
      <c r="H20" s="804">
        <v>1</v>
      </c>
      <c r="I20" s="516">
        <f>F20*G20*H20/2000</f>
        <v>0</v>
      </c>
      <c r="J20" s="807">
        <f t="shared" si="2"/>
        <v>0</v>
      </c>
      <c r="K20" s="637"/>
      <c r="L20" s="14"/>
      <c r="M20" s="806"/>
      <c r="N20" s="686"/>
      <c r="O20" s="806"/>
      <c r="P20" s="14"/>
    </row>
    <row r="21" spans="2:16" ht="11.25" customHeight="1">
      <c r="B21" s="799" t="s">
        <v>798</v>
      </c>
      <c r="C21" s="800">
        <v>157.07159999999999</v>
      </c>
      <c r="D21" s="800">
        <v>157.07159999999999</v>
      </c>
      <c r="E21" s="801">
        <v>0</v>
      </c>
      <c r="F21" s="802">
        <f t="shared" si="0"/>
        <v>157.07159999999999</v>
      </c>
      <c r="G21" s="809">
        <v>44.823453232864388</v>
      </c>
      <c r="H21" s="804">
        <v>1</v>
      </c>
      <c r="I21" s="516">
        <f>(F21*1000*G21*H21)/2000</f>
        <v>3520.2457584055905</v>
      </c>
      <c r="J21" s="807">
        <f t="shared" si="2"/>
        <v>1.170948733940474E-2</v>
      </c>
      <c r="K21" s="637"/>
      <c r="L21" s="14"/>
      <c r="M21" s="806"/>
      <c r="N21" s="686"/>
      <c r="O21" s="806"/>
      <c r="P21" s="14"/>
    </row>
    <row r="22" spans="2:16" ht="11.25" customHeight="1">
      <c r="B22" s="799" t="s">
        <v>799</v>
      </c>
      <c r="C22" s="800">
        <v>0</v>
      </c>
      <c r="D22" s="800">
        <v>0</v>
      </c>
      <c r="E22" s="801">
        <v>0.5</v>
      </c>
      <c r="F22" s="802">
        <f t="shared" si="0"/>
        <v>0</v>
      </c>
      <c r="G22" s="803">
        <v>61.343612334801762</v>
      </c>
      <c r="H22" s="804">
        <v>1</v>
      </c>
      <c r="I22" s="516">
        <f>F22*G22*H22/2000</f>
        <v>0</v>
      </c>
      <c r="J22" s="807">
        <f t="shared" si="2"/>
        <v>0</v>
      </c>
      <c r="K22" s="637"/>
      <c r="L22" s="14"/>
      <c r="M22" s="806"/>
      <c r="N22" s="686"/>
      <c r="O22" s="806"/>
      <c r="P22" s="14"/>
    </row>
    <row r="23" spans="2:16" ht="11.25" customHeight="1">
      <c r="B23" s="799" t="s">
        <v>800</v>
      </c>
      <c r="C23" s="800">
        <v>161.77572000000001</v>
      </c>
      <c r="D23" s="800">
        <v>122.04430006839266</v>
      </c>
      <c r="E23" s="801">
        <v>0.61918625610433442</v>
      </c>
      <c r="F23" s="802">
        <f t="shared" si="0"/>
        <v>86.207566761777997</v>
      </c>
      <c r="G23" s="803">
        <v>40.176211453744486</v>
      </c>
      <c r="H23" s="804">
        <v>1</v>
      </c>
      <c r="I23" s="516">
        <f t="shared" ref="I23:I24" si="5">(F23*1000*G23*H23)/2000</f>
        <v>1731.746715566994</v>
      </c>
      <c r="J23" s="807">
        <f t="shared" si="2"/>
        <v>5.7603552799029073E-3</v>
      </c>
      <c r="K23" s="637"/>
      <c r="L23" s="14"/>
      <c r="M23" s="806"/>
      <c r="N23" s="686"/>
      <c r="O23" s="806"/>
      <c r="P23" s="14"/>
    </row>
    <row r="24" spans="2:16" ht="11.25" customHeight="1">
      <c r="B24" s="799" t="s">
        <v>458</v>
      </c>
      <c r="C24" s="800">
        <v>4766.90751</v>
      </c>
      <c r="D24" s="800">
        <v>0</v>
      </c>
      <c r="E24" s="801">
        <v>0.5</v>
      </c>
      <c r="F24" s="802">
        <f t="shared" si="0"/>
        <v>4766.90751</v>
      </c>
      <c r="G24" s="803">
        <v>47.33480176211453</v>
      </c>
      <c r="H24" s="804">
        <v>1</v>
      </c>
      <c r="I24" s="516">
        <f t="shared" si="5"/>
        <v>112820.31100209249</v>
      </c>
      <c r="J24" s="807">
        <f t="shared" si="2"/>
        <v>0.37527720902788697</v>
      </c>
      <c r="K24" s="637"/>
      <c r="L24" s="14"/>
      <c r="M24" s="806"/>
      <c r="N24" s="686"/>
      <c r="O24" s="806"/>
      <c r="P24" s="14"/>
    </row>
    <row r="25" spans="2:16" ht="11.25" customHeight="1">
      <c r="B25" s="799" t="s">
        <v>801</v>
      </c>
      <c r="C25" s="800">
        <v>0</v>
      </c>
      <c r="D25" s="800">
        <v>0</v>
      </c>
      <c r="E25" s="801">
        <v>0.8</v>
      </c>
      <c r="F25" s="802">
        <f t="shared" si="0"/>
        <v>0</v>
      </c>
      <c r="G25" s="803">
        <v>38.568281938325988</v>
      </c>
      <c r="H25" s="804">
        <v>1</v>
      </c>
      <c r="I25" s="516">
        <f>F25*G25*H25/2000</f>
        <v>0</v>
      </c>
      <c r="J25" s="807">
        <f t="shared" si="2"/>
        <v>0</v>
      </c>
      <c r="K25" s="637"/>
      <c r="L25" s="14"/>
      <c r="M25" s="806"/>
      <c r="N25" s="686"/>
      <c r="O25" s="806"/>
      <c r="P25" s="14"/>
    </row>
    <row r="26" spans="2:16" ht="11.25" customHeight="1">
      <c r="B26" s="799" t="s">
        <v>802</v>
      </c>
      <c r="C26" s="800">
        <v>3076.9398200000001</v>
      </c>
      <c r="D26" s="800">
        <v>3034.4904438139852</v>
      </c>
      <c r="E26" s="801">
        <v>0</v>
      </c>
      <c r="F26" s="802">
        <f t="shared" si="0"/>
        <v>3076.9398200000001</v>
      </c>
      <c r="G26" s="803">
        <v>43.744493392070481</v>
      </c>
      <c r="H26" s="804">
        <v>1</v>
      </c>
      <c r="I26" s="516">
        <f>(F26*1000*G26*H26)/2000</f>
        <v>67299.586811894274</v>
      </c>
      <c r="J26" s="807">
        <f t="shared" si="2"/>
        <v>0.22386041026805226</v>
      </c>
      <c r="K26" s="637"/>
      <c r="L26" s="14"/>
      <c r="M26" s="806"/>
      <c r="N26" s="686"/>
      <c r="O26" s="806"/>
      <c r="P26" s="14"/>
    </row>
    <row r="27" spans="2:16" ht="11.25" customHeight="1">
      <c r="B27" s="799" t="s">
        <v>803</v>
      </c>
      <c r="C27" s="800">
        <v>0</v>
      </c>
      <c r="D27" s="800">
        <v>0</v>
      </c>
      <c r="E27" s="801">
        <v>0</v>
      </c>
      <c r="F27" s="802">
        <f t="shared" si="0"/>
        <v>0</v>
      </c>
      <c r="G27" s="809">
        <v>44.823453232864388</v>
      </c>
      <c r="H27" s="804">
        <v>1</v>
      </c>
      <c r="I27" s="516">
        <f>F27*G27*H27/2000</f>
        <v>0</v>
      </c>
      <c r="J27" s="807">
        <f t="shared" si="2"/>
        <v>0</v>
      </c>
      <c r="K27" s="637"/>
      <c r="L27" s="14"/>
      <c r="M27" s="806"/>
      <c r="N27" s="686"/>
      <c r="O27" s="806"/>
      <c r="P27" s="14"/>
    </row>
    <row r="28" spans="2:16" ht="11.25" customHeight="1">
      <c r="B28" s="799" t="s">
        <v>804</v>
      </c>
      <c r="C28" s="800">
        <v>241.17277999999999</v>
      </c>
      <c r="D28" s="800">
        <v>241.17277999999999</v>
      </c>
      <c r="E28" s="801">
        <v>0.57999999999999996</v>
      </c>
      <c r="F28" s="802">
        <f t="shared" si="0"/>
        <v>101.29256760000001</v>
      </c>
      <c r="G28" s="803">
        <v>43.63436123348017</v>
      </c>
      <c r="H28" s="804">
        <v>1</v>
      </c>
      <c r="I28" s="516">
        <f t="shared" ref="I28:I29" si="6">(F28*1000*G28*H28)/2000</f>
        <v>2209.9182424625551</v>
      </c>
      <c r="J28" s="807">
        <f t="shared" si="2"/>
        <v>7.3509099810563291E-3</v>
      </c>
      <c r="K28" s="637"/>
      <c r="L28" s="14"/>
      <c r="M28" s="806"/>
      <c r="N28" s="686"/>
      <c r="O28" s="806"/>
      <c r="P28" s="14"/>
    </row>
    <row r="29" spans="2:16" ht="12" customHeight="1">
      <c r="B29" s="799" t="s">
        <v>399</v>
      </c>
      <c r="C29" s="800">
        <v>23810.834429999999</v>
      </c>
      <c r="D29" s="800">
        <v>1279.7490342444869</v>
      </c>
      <c r="E29" s="801">
        <v>0.61918625610433442</v>
      </c>
      <c r="F29" s="802">
        <f t="shared" si="0"/>
        <v>23018.431416733016</v>
      </c>
      <c r="G29" s="810">
        <v>31.872246696035241</v>
      </c>
      <c r="H29" s="811">
        <v>1</v>
      </c>
      <c r="I29" s="745">
        <f t="shared" si="6"/>
        <v>366824.56233494135</v>
      </c>
      <c r="J29" s="812">
        <f t="shared" si="2"/>
        <v>1.2201783236830441</v>
      </c>
      <c r="K29" s="637"/>
      <c r="L29" s="14"/>
      <c r="M29" s="806"/>
      <c r="N29" s="686"/>
      <c r="O29" s="806"/>
      <c r="P29" s="14"/>
    </row>
    <row r="30" spans="2:16" ht="12" customHeight="1">
      <c r="B30" s="813"/>
      <c r="C30" s="814"/>
      <c r="D30" s="814"/>
      <c r="E30" s="814"/>
      <c r="F30" s="814"/>
      <c r="G30" s="814"/>
      <c r="H30" s="815" t="s">
        <v>152</v>
      </c>
      <c r="I30" s="816"/>
      <c r="J30" s="817">
        <f>SUM(J8:J29)</f>
        <v>6.321176297407435</v>
      </c>
      <c r="K30" s="1"/>
      <c r="L30" s="1"/>
      <c r="M30" s="1"/>
      <c r="N30" s="1"/>
      <c r="O30" s="1"/>
    </row>
    <row r="31" spans="2:16" ht="12" customHeight="1">
      <c r="B31" s="275"/>
      <c r="C31" s="276"/>
      <c r="D31" s="276"/>
      <c r="E31" s="276"/>
      <c r="F31" s="276"/>
      <c r="G31" s="276"/>
      <c r="H31" s="818"/>
      <c r="I31" s="818"/>
      <c r="J31" s="819"/>
    </row>
    <row r="32" spans="2:16" ht="12" customHeight="1"/>
    <row r="33" spans="2:13" ht="11.25" customHeight="1"/>
    <row r="34" spans="2:13" ht="21.75" customHeight="1">
      <c r="B34" s="676" t="s">
        <v>805</v>
      </c>
      <c r="C34" s="789"/>
      <c r="D34" s="689">
        <v>2006</v>
      </c>
      <c r="E34" s="1"/>
      <c r="F34" s="1"/>
      <c r="G34" s="1"/>
      <c r="H34" s="1"/>
      <c r="I34" s="1"/>
      <c r="J34" s="1"/>
      <c r="K34" s="1"/>
      <c r="L34" s="1"/>
      <c r="M34" s="1"/>
    </row>
    <row r="35" spans="2:13" ht="21.75" customHeight="1">
      <c r="B35" s="820"/>
      <c r="C35" s="791" t="s">
        <v>788</v>
      </c>
      <c r="D35" s="791" t="s">
        <v>715</v>
      </c>
      <c r="E35" s="792"/>
      <c r="F35" s="792"/>
      <c r="G35" s="792"/>
      <c r="H35" s="793"/>
      <c r="I35" s="1"/>
      <c r="J35" s="1663" t="s">
        <v>1</v>
      </c>
      <c r="K35" s="1664"/>
      <c r="L35" s="1"/>
      <c r="M35" s="1"/>
    </row>
    <row r="36" spans="2:13" ht="11.25" customHeight="1">
      <c r="B36" s="821"/>
      <c r="C36" s="795" t="s">
        <v>68</v>
      </c>
      <c r="D36" s="795" t="s">
        <v>68</v>
      </c>
      <c r="E36" s="681" t="s">
        <v>451</v>
      </c>
      <c r="F36" s="681" t="s">
        <v>461</v>
      </c>
      <c r="G36" s="795" t="s">
        <v>452</v>
      </c>
      <c r="H36" s="682" t="s">
        <v>95</v>
      </c>
      <c r="I36" s="1"/>
      <c r="J36" s="25"/>
      <c r="K36" s="25"/>
      <c r="L36" s="307"/>
      <c r="M36" s="1"/>
    </row>
    <row r="37" spans="2:13" ht="11.25" customHeight="1">
      <c r="B37" s="822" t="s">
        <v>238</v>
      </c>
      <c r="C37" s="798" t="s">
        <v>453</v>
      </c>
      <c r="D37" s="798" t="s">
        <v>453</v>
      </c>
      <c r="E37" s="781" t="s">
        <v>806</v>
      </c>
      <c r="F37" s="781" t="s">
        <v>807</v>
      </c>
      <c r="G37" s="798"/>
      <c r="H37" s="782" t="s">
        <v>808</v>
      </c>
      <c r="I37" s="1"/>
      <c r="J37" s="26" t="s">
        <v>60</v>
      </c>
      <c r="K37" s="27">
        <f>Summary!E4</f>
        <v>1</v>
      </c>
      <c r="L37" s="307"/>
      <c r="M37" s="1"/>
    </row>
    <row r="38" spans="2:13" ht="12.75" customHeight="1">
      <c r="B38" s="799" t="s">
        <v>790</v>
      </c>
      <c r="C38" s="800">
        <v>0</v>
      </c>
      <c r="D38" s="800">
        <v>0</v>
      </c>
      <c r="E38" s="823">
        <v>1.5034545899835E-3</v>
      </c>
      <c r="F38" s="824">
        <f t="shared" ref="F38:F59" si="7">(C38-D38)*E38</f>
        <v>0</v>
      </c>
      <c r="G38" s="800">
        <f t="shared" ref="G38:G60" si="8">$K$39</f>
        <v>265</v>
      </c>
      <c r="H38" s="807">
        <f t="shared" ref="H38:H60" si="9">F38*G38/1000000</f>
        <v>0</v>
      </c>
      <c r="I38" s="806"/>
      <c r="J38" s="26" t="s">
        <v>62</v>
      </c>
      <c r="K38" s="27">
        <f>Summary!E5</f>
        <v>28</v>
      </c>
      <c r="L38" s="686"/>
      <c r="M38" s="1"/>
    </row>
    <row r="39" spans="2:13" ht="12.75" customHeight="1">
      <c r="B39" s="799" t="s">
        <v>791</v>
      </c>
      <c r="C39" s="800">
        <v>30430.66779</v>
      </c>
      <c r="D39" s="800">
        <v>307.25402853954921</v>
      </c>
      <c r="E39" s="823">
        <v>1.5034545899835E-3</v>
      </c>
      <c r="F39" s="824">
        <f t="shared" si="7"/>
        <v>45.289184685639846</v>
      </c>
      <c r="G39" s="800">
        <f t="shared" si="8"/>
        <v>265</v>
      </c>
      <c r="H39" s="807">
        <f t="shared" si="9"/>
        <v>1.2001633941694559E-2</v>
      </c>
      <c r="I39" s="806"/>
      <c r="J39" s="26" t="s">
        <v>63</v>
      </c>
      <c r="K39" s="27">
        <f>Summary!E6</f>
        <v>265</v>
      </c>
      <c r="L39" s="686"/>
      <c r="M39" s="1"/>
    </row>
    <row r="40" spans="2:13" ht="12.75" customHeight="1">
      <c r="B40" s="799" t="s">
        <v>792</v>
      </c>
      <c r="C40" s="800">
        <v>19576.189249999999</v>
      </c>
      <c r="D40" s="800">
        <v>19576.189249999999</v>
      </c>
      <c r="E40" s="823">
        <v>6.0138183599339984E-4</v>
      </c>
      <c r="F40" s="824">
        <f t="shared" si="7"/>
        <v>0</v>
      </c>
      <c r="G40" s="800">
        <f t="shared" si="8"/>
        <v>265</v>
      </c>
      <c r="H40" s="807">
        <f t="shared" si="9"/>
        <v>0</v>
      </c>
      <c r="I40" s="806"/>
      <c r="J40" s="26" t="s">
        <v>65</v>
      </c>
      <c r="K40" s="29">
        <f>Summary!E7</f>
        <v>23500</v>
      </c>
      <c r="L40" s="686"/>
      <c r="M40" s="1"/>
    </row>
    <row r="41" spans="2:13" ht="19.5" customHeight="1">
      <c r="B41" s="808" t="s">
        <v>793</v>
      </c>
      <c r="C41" s="800">
        <v>0</v>
      </c>
      <c r="D41" s="800">
        <v>0</v>
      </c>
      <c r="E41" s="823">
        <v>6.0138183599339984E-4</v>
      </c>
      <c r="F41" s="824">
        <f t="shared" si="7"/>
        <v>0</v>
      </c>
      <c r="G41" s="800">
        <f t="shared" si="8"/>
        <v>265</v>
      </c>
      <c r="H41" s="807">
        <f t="shared" si="9"/>
        <v>0</v>
      </c>
      <c r="I41" s="806"/>
      <c r="J41" s="26"/>
      <c r="K41" s="29"/>
      <c r="L41" s="686"/>
      <c r="M41" s="1"/>
    </row>
    <row r="42" spans="2:13" ht="12.75" customHeight="1">
      <c r="B42" s="808" t="s">
        <v>794</v>
      </c>
      <c r="C42" s="800">
        <v>0</v>
      </c>
      <c r="D42" s="800">
        <v>0</v>
      </c>
      <c r="E42" s="823">
        <v>6.0138183599339984E-4</v>
      </c>
      <c r="F42" s="824">
        <f t="shared" si="7"/>
        <v>0</v>
      </c>
      <c r="G42" s="800">
        <f t="shared" si="8"/>
        <v>265</v>
      </c>
      <c r="H42" s="807">
        <f t="shared" si="9"/>
        <v>0</v>
      </c>
      <c r="I42" s="806"/>
      <c r="J42" s="686"/>
      <c r="K42" s="806"/>
      <c r="L42" s="686"/>
      <c r="M42" s="1"/>
    </row>
    <row r="43" spans="2:13" ht="12.75" customHeight="1">
      <c r="B43" s="799" t="s">
        <v>457</v>
      </c>
      <c r="C43" s="800">
        <v>12446.073039999999</v>
      </c>
      <c r="D43" s="800">
        <v>118.8273577409505</v>
      </c>
      <c r="E43" s="823">
        <v>6.0138183599339984E-4</v>
      </c>
      <c r="F43" s="824">
        <f t="shared" si="7"/>
        <v>7.4133816411386571</v>
      </c>
      <c r="G43" s="800">
        <f t="shared" si="8"/>
        <v>265</v>
      </c>
      <c r="H43" s="807">
        <f t="shared" si="9"/>
        <v>1.964546134901744E-3</v>
      </c>
      <c r="I43" s="806"/>
      <c r="J43" s="686"/>
      <c r="K43" s="806"/>
      <c r="L43" s="686"/>
      <c r="M43" s="1"/>
    </row>
    <row r="44" spans="2:13" ht="19.5" customHeight="1">
      <c r="B44" s="808" t="s">
        <v>795</v>
      </c>
      <c r="C44" s="800">
        <v>726.11391000000003</v>
      </c>
      <c r="D44" s="800">
        <v>715.1466275548712</v>
      </c>
      <c r="E44" s="823">
        <v>6.0138183599339984E-4</v>
      </c>
      <c r="F44" s="824">
        <f t="shared" si="7"/>
        <v>6.5955244527097596E-3</v>
      </c>
      <c r="G44" s="800">
        <f t="shared" si="8"/>
        <v>265</v>
      </c>
      <c r="H44" s="807">
        <f t="shared" si="9"/>
        <v>1.7478139799680863E-6</v>
      </c>
      <c r="I44" s="806"/>
      <c r="J44" s="686"/>
      <c r="K44" s="806"/>
      <c r="L44" s="686"/>
      <c r="M44" s="1"/>
    </row>
    <row r="45" spans="2:13" ht="19.5" customHeight="1">
      <c r="B45" s="808" t="s">
        <v>796</v>
      </c>
      <c r="C45" s="800">
        <v>912.92358999999999</v>
      </c>
      <c r="D45" s="800">
        <v>661.47104106953759</v>
      </c>
      <c r="E45" s="823">
        <v>6.0138183599339984E-4</v>
      </c>
      <c r="F45" s="824">
        <f t="shared" si="7"/>
        <v>0.15121899554102169</v>
      </c>
      <c r="G45" s="800">
        <f t="shared" si="8"/>
        <v>265</v>
      </c>
      <c r="H45" s="807">
        <f t="shared" si="9"/>
        <v>4.0073033818370746E-5</v>
      </c>
      <c r="I45" s="806"/>
      <c r="J45" s="686"/>
      <c r="K45" s="806"/>
      <c r="L45" s="686"/>
      <c r="M45" s="1"/>
    </row>
    <row r="46" spans="2:13" ht="12.75" customHeight="1">
      <c r="B46" s="799" t="s">
        <v>376</v>
      </c>
      <c r="C46" s="800">
        <v>172.24553</v>
      </c>
      <c r="D46" s="800">
        <v>0</v>
      </c>
      <c r="E46" s="823">
        <v>6.0138183599339984E-4</v>
      </c>
      <c r="F46" s="824">
        <f t="shared" si="7"/>
        <v>0.10358533307305623</v>
      </c>
      <c r="G46" s="800">
        <f t="shared" si="8"/>
        <v>265</v>
      </c>
      <c r="H46" s="807">
        <f t="shared" si="9"/>
        <v>2.74501132643599E-5</v>
      </c>
      <c r="I46" s="806"/>
      <c r="J46" s="686"/>
      <c r="K46" s="806"/>
      <c r="L46" s="686"/>
      <c r="M46" s="1"/>
    </row>
    <row r="47" spans="2:13" ht="12.75" customHeight="1">
      <c r="B47" s="799" t="s">
        <v>709</v>
      </c>
      <c r="C47" s="800">
        <v>3241.0028299999999</v>
      </c>
      <c r="D47" s="800">
        <v>2263.7016790260022</v>
      </c>
      <c r="E47" s="823">
        <v>6.0138183599339984E-4</v>
      </c>
      <c r="F47" s="824">
        <f t="shared" si="7"/>
        <v>0.58773116049120555</v>
      </c>
      <c r="G47" s="800">
        <f t="shared" si="8"/>
        <v>265</v>
      </c>
      <c r="H47" s="807">
        <f t="shared" si="9"/>
        <v>1.5574875753016949E-4</v>
      </c>
      <c r="I47" s="806"/>
      <c r="J47" s="686"/>
      <c r="K47" s="806"/>
      <c r="L47" s="686"/>
      <c r="M47" s="1"/>
    </row>
    <row r="48" spans="2:13" ht="12.75" customHeight="1">
      <c r="B48" s="799" t="s">
        <v>719</v>
      </c>
      <c r="C48" s="800">
        <v>2154.1493500000001</v>
      </c>
      <c r="D48" s="800">
        <v>2154.1493500000001</v>
      </c>
      <c r="E48" s="823">
        <v>6.0138183599339984E-4</v>
      </c>
      <c r="F48" s="824">
        <f t="shared" si="7"/>
        <v>0</v>
      </c>
      <c r="G48" s="800">
        <f t="shared" si="8"/>
        <v>265</v>
      </c>
      <c r="H48" s="807">
        <f t="shared" si="9"/>
        <v>0</v>
      </c>
      <c r="I48" s="806"/>
      <c r="J48" s="686"/>
      <c r="K48" s="806"/>
      <c r="L48" s="686"/>
      <c r="M48" s="1"/>
    </row>
    <row r="49" spans="2:13" ht="12.75" customHeight="1">
      <c r="B49" s="799" t="s">
        <v>633</v>
      </c>
      <c r="C49" s="800">
        <v>5394.6696899999997</v>
      </c>
      <c r="D49" s="800">
        <v>0</v>
      </c>
      <c r="E49" s="823">
        <v>6.0138183599339984E-4</v>
      </c>
      <c r="F49" s="824">
        <f t="shared" si="7"/>
        <v>3.2442563627501451</v>
      </c>
      <c r="G49" s="800">
        <f t="shared" si="8"/>
        <v>265</v>
      </c>
      <c r="H49" s="807">
        <f t="shared" si="9"/>
        <v>8.5972793612878844E-4</v>
      </c>
      <c r="I49" s="806"/>
      <c r="J49" s="686"/>
      <c r="K49" s="806"/>
      <c r="L49" s="686"/>
      <c r="M49" s="1"/>
    </row>
    <row r="50" spans="2:13" ht="19.5" customHeight="1">
      <c r="B50" s="808" t="s">
        <v>797</v>
      </c>
      <c r="C50" s="800">
        <v>0</v>
      </c>
      <c r="D50" s="800">
        <v>0</v>
      </c>
      <c r="E50" s="823">
        <v>6.0138183599339984E-4</v>
      </c>
      <c r="F50" s="824">
        <f t="shared" si="7"/>
        <v>0</v>
      </c>
      <c r="G50" s="800">
        <f t="shared" si="8"/>
        <v>265</v>
      </c>
      <c r="H50" s="807">
        <f t="shared" si="9"/>
        <v>0</v>
      </c>
      <c r="I50" s="806"/>
      <c r="J50" s="686"/>
      <c r="K50" s="806"/>
      <c r="L50" s="686"/>
      <c r="M50" s="1"/>
    </row>
    <row r="51" spans="2:13" ht="12.75" customHeight="1">
      <c r="B51" s="799" t="s">
        <v>798</v>
      </c>
      <c r="C51" s="800">
        <v>157.07159999999999</v>
      </c>
      <c r="D51" s="800">
        <v>157.07159999999999</v>
      </c>
      <c r="E51" s="823">
        <v>6.0138183599339984E-4</v>
      </c>
      <c r="F51" s="824">
        <f t="shared" si="7"/>
        <v>0</v>
      </c>
      <c r="G51" s="800">
        <f t="shared" si="8"/>
        <v>265</v>
      </c>
      <c r="H51" s="807">
        <f t="shared" si="9"/>
        <v>0</v>
      </c>
      <c r="I51" s="806"/>
      <c r="J51" s="686"/>
      <c r="K51" s="806"/>
      <c r="L51" s="686"/>
      <c r="M51" s="1"/>
    </row>
    <row r="52" spans="2:13" ht="12.75" customHeight="1">
      <c r="B52" s="799" t="s">
        <v>799</v>
      </c>
      <c r="C52" s="800">
        <v>0</v>
      </c>
      <c r="D52" s="800">
        <v>0</v>
      </c>
      <c r="E52" s="823">
        <v>6.0138183599339984E-4</v>
      </c>
      <c r="F52" s="824">
        <f t="shared" si="7"/>
        <v>0</v>
      </c>
      <c r="G52" s="800">
        <f t="shared" si="8"/>
        <v>265</v>
      </c>
      <c r="H52" s="807">
        <f t="shared" si="9"/>
        <v>0</v>
      </c>
      <c r="I52" s="806"/>
      <c r="J52" s="686"/>
      <c r="K52" s="806"/>
      <c r="L52" s="686"/>
      <c r="M52" s="1"/>
    </row>
    <row r="53" spans="2:13" ht="12.75" customHeight="1">
      <c r="B53" s="799" t="s">
        <v>800</v>
      </c>
      <c r="C53" s="800">
        <v>161.77572000000001</v>
      </c>
      <c r="D53" s="800">
        <v>122.04430006839266</v>
      </c>
      <c r="E53" s="823">
        <v>6.0138183599339984E-4</v>
      </c>
      <c r="F53" s="824">
        <f t="shared" si="7"/>
        <v>2.389375426509479E-2</v>
      </c>
      <c r="G53" s="800">
        <f t="shared" si="8"/>
        <v>265</v>
      </c>
      <c r="H53" s="807">
        <f t="shared" si="9"/>
        <v>6.3318448802501189E-6</v>
      </c>
      <c r="I53" s="806"/>
      <c r="J53" s="686"/>
      <c r="K53" s="806"/>
      <c r="L53" s="686"/>
      <c r="M53" s="1"/>
    </row>
    <row r="54" spans="2:13" ht="12.75" customHeight="1">
      <c r="B54" s="799" t="s">
        <v>458</v>
      </c>
      <c r="C54" s="800">
        <v>4766.90751</v>
      </c>
      <c r="D54" s="800">
        <v>0</v>
      </c>
      <c r="E54" s="823">
        <v>6.0138183599339984E-4</v>
      </c>
      <c r="F54" s="824">
        <f t="shared" si="7"/>
        <v>2.8667315903745259</v>
      </c>
      <c r="G54" s="800">
        <f t="shared" si="8"/>
        <v>265</v>
      </c>
      <c r="H54" s="807">
        <f t="shared" si="9"/>
        <v>7.5968387144924928E-4</v>
      </c>
      <c r="I54" s="806"/>
      <c r="J54" s="686"/>
      <c r="K54" s="806"/>
      <c r="L54" s="686"/>
      <c r="M54" s="1"/>
    </row>
    <row r="55" spans="2:13" ht="12.75" customHeight="1">
      <c r="B55" s="799" t="s">
        <v>801</v>
      </c>
      <c r="C55" s="800">
        <v>0</v>
      </c>
      <c r="D55" s="800">
        <v>0</v>
      </c>
      <c r="E55" s="823">
        <v>6.0138183599339984E-4</v>
      </c>
      <c r="F55" s="824">
        <f t="shared" si="7"/>
        <v>0</v>
      </c>
      <c r="G55" s="800">
        <f t="shared" si="8"/>
        <v>265</v>
      </c>
      <c r="H55" s="807">
        <f t="shared" si="9"/>
        <v>0</v>
      </c>
      <c r="I55" s="806"/>
      <c r="J55" s="686"/>
      <c r="K55" s="806"/>
      <c r="L55" s="686"/>
      <c r="M55" s="1"/>
    </row>
    <row r="56" spans="2:13" ht="12.75" customHeight="1">
      <c r="B56" s="799" t="s">
        <v>802</v>
      </c>
      <c r="C56" s="800">
        <v>3076.9398200000001</v>
      </c>
      <c r="D56" s="800">
        <v>3034.4904438139852</v>
      </c>
      <c r="E56" s="823">
        <v>6.0138183599339984E-4</v>
      </c>
      <c r="F56" s="824">
        <f t="shared" si="7"/>
        <v>2.5528283787520138E-2</v>
      </c>
      <c r="G56" s="800">
        <f t="shared" si="8"/>
        <v>265</v>
      </c>
      <c r="H56" s="807">
        <f t="shared" si="9"/>
        <v>6.7649952036928366E-6</v>
      </c>
      <c r="I56" s="806"/>
      <c r="J56" s="686"/>
      <c r="K56" s="806"/>
      <c r="L56" s="686"/>
      <c r="M56" s="1"/>
    </row>
    <row r="57" spans="2:13" ht="12.75" customHeight="1">
      <c r="B57" s="799" t="s">
        <v>803</v>
      </c>
      <c r="C57" s="800">
        <v>0</v>
      </c>
      <c r="D57" s="800">
        <v>0</v>
      </c>
      <c r="E57" s="823">
        <v>6.0138183599339984E-4</v>
      </c>
      <c r="F57" s="824">
        <f t="shared" si="7"/>
        <v>0</v>
      </c>
      <c r="G57" s="800">
        <f t="shared" si="8"/>
        <v>265</v>
      </c>
      <c r="H57" s="807">
        <f t="shared" si="9"/>
        <v>0</v>
      </c>
      <c r="I57" s="806"/>
      <c r="J57" s="686"/>
      <c r="K57" s="806"/>
      <c r="L57" s="686"/>
      <c r="M57" s="1"/>
    </row>
    <row r="58" spans="2:13" ht="12.75" customHeight="1">
      <c r="B58" s="799" t="s">
        <v>804</v>
      </c>
      <c r="C58" s="800">
        <v>241.17277999999999</v>
      </c>
      <c r="D58" s="800">
        <v>241.17277999999999</v>
      </c>
      <c r="E58" s="823">
        <v>6.0138183599339984E-4</v>
      </c>
      <c r="F58" s="824">
        <f t="shared" si="7"/>
        <v>0</v>
      </c>
      <c r="G58" s="800">
        <f t="shared" si="8"/>
        <v>265</v>
      </c>
      <c r="H58" s="807">
        <f t="shared" si="9"/>
        <v>0</v>
      </c>
      <c r="I58" s="806"/>
      <c r="J58" s="686"/>
      <c r="K58" s="806"/>
      <c r="L58" s="686"/>
      <c r="M58" s="1"/>
    </row>
    <row r="59" spans="2:13" ht="12.75" customHeight="1">
      <c r="B59" s="799" t="s">
        <v>399</v>
      </c>
      <c r="C59" s="800">
        <v>23810.834429999999</v>
      </c>
      <c r="D59" s="800">
        <v>1279.7490342444869</v>
      </c>
      <c r="E59" s="823">
        <v>9.4955026735800017E-5</v>
      </c>
      <c r="F59" s="824">
        <f t="shared" si="7"/>
        <v>2.1394398161405581</v>
      </c>
      <c r="G59" s="800">
        <f t="shared" si="8"/>
        <v>265</v>
      </c>
      <c r="H59" s="807">
        <f t="shared" si="9"/>
        <v>5.6695155127724781E-4</v>
      </c>
      <c r="I59" s="806"/>
      <c r="J59" s="686"/>
      <c r="K59" s="806"/>
      <c r="L59" s="686"/>
      <c r="M59" s="1"/>
    </row>
    <row r="60" spans="2:13" ht="12.75" customHeight="1">
      <c r="B60" s="683" t="s">
        <v>755</v>
      </c>
      <c r="C60" s="800">
        <v>12165.362289999999</v>
      </c>
      <c r="D60" s="802" t="s">
        <v>809</v>
      </c>
      <c r="E60" s="823">
        <v>3.7982010694320003E-3</v>
      </c>
      <c r="F60" s="824">
        <f>C60*E60</f>
        <v>46.206492059905727</v>
      </c>
      <c r="G60" s="800">
        <f t="shared" si="8"/>
        <v>265</v>
      </c>
      <c r="H60" s="807">
        <f t="shared" si="9"/>
        <v>1.2244720395875017E-2</v>
      </c>
      <c r="I60" s="806"/>
      <c r="J60" s="686"/>
      <c r="K60" s="806"/>
      <c r="L60" s="686"/>
      <c r="M60" s="1"/>
    </row>
    <row r="61" spans="2:13" ht="14.25" customHeight="1">
      <c r="B61" s="268"/>
      <c r="C61" s="814"/>
      <c r="D61" s="814"/>
      <c r="E61" s="814"/>
      <c r="F61" s="814"/>
      <c r="G61" s="825" t="s">
        <v>152</v>
      </c>
      <c r="H61" s="826">
        <f>SUM(H38:H60)</f>
        <v>2.863538039000342E-2</v>
      </c>
      <c r="I61" s="183"/>
      <c r="J61" s="707"/>
      <c r="K61" s="183"/>
      <c r="L61" s="707"/>
      <c r="M61" s="1"/>
    </row>
    <row r="62" spans="2:13" ht="12" customHeight="1">
      <c r="B62" s="275"/>
      <c r="C62" s="276"/>
      <c r="D62" s="276"/>
      <c r="E62" s="276"/>
      <c r="F62" s="276"/>
      <c r="G62" s="276"/>
      <c r="H62" s="277"/>
    </row>
    <row r="63" spans="2:13" ht="12" customHeight="1"/>
    <row r="64" spans="2:13" ht="11.25" customHeight="1"/>
    <row r="65" spans="2:13" ht="21.75" customHeight="1">
      <c r="B65" s="689" t="s">
        <v>810</v>
      </c>
      <c r="C65" s="827"/>
      <c r="D65" s="828">
        <v>2006</v>
      </c>
      <c r="E65" s="1"/>
      <c r="F65" s="1"/>
      <c r="G65" s="1"/>
      <c r="H65" s="1"/>
      <c r="I65" s="1"/>
      <c r="J65" s="1"/>
      <c r="K65" s="1"/>
      <c r="L65" s="1"/>
      <c r="M65" s="1"/>
    </row>
    <row r="66" spans="2:13" ht="21.75" customHeight="1">
      <c r="B66" s="829"/>
      <c r="C66" s="830" t="s">
        <v>788</v>
      </c>
      <c r="D66" s="830" t="s">
        <v>715</v>
      </c>
      <c r="E66" s="814"/>
      <c r="F66" s="814"/>
      <c r="G66" s="814"/>
      <c r="H66" s="831"/>
      <c r="I66" s="1"/>
      <c r="J66" s="1"/>
      <c r="K66" s="1"/>
      <c r="L66" s="1"/>
      <c r="M66" s="1"/>
    </row>
    <row r="67" spans="2:13" ht="11.25" customHeight="1">
      <c r="B67" s="832"/>
      <c r="C67" s="830" t="s">
        <v>68</v>
      </c>
      <c r="D67" s="830" t="s">
        <v>68</v>
      </c>
      <c r="E67" s="833" t="s">
        <v>451</v>
      </c>
      <c r="F67" s="833" t="s">
        <v>95</v>
      </c>
      <c r="G67" s="830" t="s">
        <v>452</v>
      </c>
      <c r="H67" s="693" t="s">
        <v>95</v>
      </c>
      <c r="I67" s="1"/>
      <c r="J67" s="307"/>
      <c r="K67" s="1"/>
      <c r="L67" s="307"/>
      <c r="M67" s="1"/>
    </row>
    <row r="68" spans="2:13" ht="12" customHeight="1">
      <c r="B68" s="834" t="s">
        <v>238</v>
      </c>
      <c r="C68" s="830" t="s">
        <v>453</v>
      </c>
      <c r="D68" s="830" t="s">
        <v>453</v>
      </c>
      <c r="E68" s="833" t="s">
        <v>454</v>
      </c>
      <c r="F68" s="833" t="s">
        <v>455</v>
      </c>
      <c r="G68" s="830"/>
      <c r="H68" s="835" t="s">
        <v>758</v>
      </c>
      <c r="I68" s="1"/>
      <c r="J68" s="630"/>
      <c r="K68" s="1"/>
      <c r="L68" s="307"/>
      <c r="M68" s="1"/>
    </row>
    <row r="69" spans="2:13" ht="12.75" customHeight="1">
      <c r="B69" s="836" t="s">
        <v>790</v>
      </c>
      <c r="C69" s="837">
        <v>0</v>
      </c>
      <c r="D69" s="838">
        <v>0</v>
      </c>
      <c r="E69" s="839">
        <v>1.0023030599889999E-2</v>
      </c>
      <c r="F69" s="840">
        <f t="shared" ref="F69:F90" si="10">(C69-D69)*E69</f>
        <v>0</v>
      </c>
      <c r="G69" s="837">
        <f t="shared" ref="G69:G91" si="11">$K$38</f>
        <v>28</v>
      </c>
      <c r="H69" s="841">
        <f t="shared" ref="H69:H91" si="12">F69*G69/1000000</f>
        <v>0</v>
      </c>
      <c r="I69" s="806"/>
      <c r="J69" s="686"/>
      <c r="K69" s="806"/>
      <c r="L69" s="686"/>
      <c r="M69" s="1"/>
    </row>
    <row r="70" spans="2:13" ht="12.75" customHeight="1">
      <c r="B70" s="842" t="s">
        <v>791</v>
      </c>
      <c r="C70" s="800">
        <v>30430.66779</v>
      </c>
      <c r="D70" s="843">
        <v>307.25402853954921</v>
      </c>
      <c r="E70" s="823">
        <v>1.0023030599889999E-2</v>
      </c>
      <c r="F70" s="844">
        <f t="shared" si="10"/>
        <v>301.92789790426559</v>
      </c>
      <c r="G70" s="800">
        <f t="shared" si="11"/>
        <v>28</v>
      </c>
      <c r="H70" s="845">
        <f t="shared" si="12"/>
        <v>8.4539811413194364E-3</v>
      </c>
      <c r="I70" s="806"/>
      <c r="J70" s="686"/>
      <c r="K70" s="806"/>
      <c r="L70" s="686"/>
      <c r="M70" s="1"/>
    </row>
    <row r="71" spans="2:13" ht="12.75" customHeight="1">
      <c r="B71" s="842" t="s">
        <v>792</v>
      </c>
      <c r="C71" s="800">
        <v>19576.189249999999</v>
      </c>
      <c r="D71" s="843">
        <v>19576.189249999999</v>
      </c>
      <c r="E71" s="823">
        <v>3.006909179967E-3</v>
      </c>
      <c r="F71" s="844">
        <f t="shared" si="10"/>
        <v>0</v>
      </c>
      <c r="G71" s="800">
        <f t="shared" si="11"/>
        <v>28</v>
      </c>
      <c r="H71" s="845">
        <f t="shared" si="12"/>
        <v>0</v>
      </c>
      <c r="I71" s="806"/>
      <c r="J71" s="686"/>
      <c r="K71" s="806"/>
      <c r="L71" s="686"/>
      <c r="M71" s="1"/>
    </row>
    <row r="72" spans="2:13" ht="25.5" customHeight="1">
      <c r="B72" s="846" t="s">
        <v>793</v>
      </c>
      <c r="C72" s="800">
        <v>0</v>
      </c>
      <c r="D72" s="843">
        <v>0</v>
      </c>
      <c r="E72" s="823">
        <v>3.006909179967E-3</v>
      </c>
      <c r="F72" s="844">
        <f t="shared" si="10"/>
        <v>0</v>
      </c>
      <c r="G72" s="800">
        <f t="shared" si="11"/>
        <v>28</v>
      </c>
      <c r="H72" s="845">
        <f t="shared" si="12"/>
        <v>0</v>
      </c>
      <c r="I72" s="806"/>
      <c r="J72" s="686"/>
      <c r="K72" s="806"/>
      <c r="L72" s="686"/>
      <c r="M72" s="1"/>
    </row>
    <row r="73" spans="2:13" ht="12.75" customHeight="1">
      <c r="B73" s="846" t="s">
        <v>794</v>
      </c>
      <c r="C73" s="800">
        <v>0</v>
      </c>
      <c r="D73" s="843">
        <v>0</v>
      </c>
      <c r="E73" s="823">
        <v>3.006909179967E-3</v>
      </c>
      <c r="F73" s="844">
        <f t="shared" si="10"/>
        <v>0</v>
      </c>
      <c r="G73" s="800">
        <f t="shared" si="11"/>
        <v>28</v>
      </c>
      <c r="H73" s="845">
        <f t="shared" si="12"/>
        <v>0</v>
      </c>
      <c r="I73" s="806"/>
      <c r="J73" s="686"/>
      <c r="K73" s="806"/>
      <c r="L73" s="686"/>
      <c r="M73" s="1"/>
    </row>
    <row r="74" spans="2:13" ht="12.75" customHeight="1">
      <c r="B74" s="842" t="s">
        <v>457</v>
      </c>
      <c r="C74" s="800">
        <v>12446.073039999999</v>
      </c>
      <c r="D74" s="843">
        <v>118.8273577409505</v>
      </c>
      <c r="E74" s="823">
        <v>3.006909179967E-3</v>
      </c>
      <c r="F74" s="844">
        <f t="shared" si="10"/>
        <v>37.066908205693295</v>
      </c>
      <c r="G74" s="800">
        <f t="shared" si="11"/>
        <v>28</v>
      </c>
      <c r="H74" s="845">
        <f t="shared" si="12"/>
        <v>1.0378734297594124E-3</v>
      </c>
      <c r="I74" s="806"/>
      <c r="J74" s="686"/>
      <c r="K74" s="806"/>
      <c r="L74" s="686"/>
      <c r="M74" s="1"/>
    </row>
    <row r="75" spans="2:13" ht="25.5" customHeight="1">
      <c r="B75" s="846" t="s">
        <v>795</v>
      </c>
      <c r="C75" s="800">
        <v>726.11391000000003</v>
      </c>
      <c r="D75" s="843">
        <v>715.1466275548712</v>
      </c>
      <c r="E75" s="823">
        <v>3.006909179967E-3</v>
      </c>
      <c r="F75" s="844">
        <f t="shared" si="10"/>
        <v>3.2977622263548806E-2</v>
      </c>
      <c r="G75" s="800">
        <f t="shared" si="11"/>
        <v>28</v>
      </c>
      <c r="H75" s="845">
        <f t="shared" si="12"/>
        <v>9.2337342337936654E-7</v>
      </c>
      <c r="I75" s="806"/>
      <c r="J75" s="686"/>
      <c r="K75" s="806"/>
      <c r="L75" s="686"/>
      <c r="M75" s="1"/>
    </row>
    <row r="76" spans="2:13" ht="25.5" customHeight="1">
      <c r="B76" s="846" t="s">
        <v>796</v>
      </c>
      <c r="C76" s="800">
        <v>912.92358999999999</v>
      </c>
      <c r="D76" s="843">
        <v>661.47104106953759</v>
      </c>
      <c r="E76" s="823">
        <v>3.006909179967E-3</v>
      </c>
      <c r="F76" s="844">
        <f t="shared" si="10"/>
        <v>0.75609497770510858</v>
      </c>
      <c r="G76" s="800">
        <f t="shared" si="11"/>
        <v>28</v>
      </c>
      <c r="H76" s="845">
        <f t="shared" si="12"/>
        <v>2.1170659375743038E-5</v>
      </c>
      <c r="I76" s="806"/>
      <c r="J76" s="686"/>
      <c r="K76" s="806"/>
      <c r="L76" s="686"/>
      <c r="M76" s="1"/>
    </row>
    <row r="77" spans="2:13" ht="12.75" customHeight="1">
      <c r="B77" s="842" t="s">
        <v>376</v>
      </c>
      <c r="C77" s="800">
        <v>172.24553</v>
      </c>
      <c r="D77" s="843">
        <v>0</v>
      </c>
      <c r="E77" s="823">
        <v>3.006909179967E-3</v>
      </c>
      <c r="F77" s="844">
        <f t="shared" si="10"/>
        <v>0.51792666536528131</v>
      </c>
      <c r="G77" s="800">
        <f t="shared" si="11"/>
        <v>28</v>
      </c>
      <c r="H77" s="845">
        <f t="shared" si="12"/>
        <v>1.4501946630227876E-5</v>
      </c>
      <c r="I77" s="806"/>
      <c r="J77" s="686"/>
      <c r="K77" s="806"/>
      <c r="L77" s="686"/>
      <c r="M77" s="1"/>
    </row>
    <row r="78" spans="2:13" ht="12.75" customHeight="1">
      <c r="B78" s="842" t="s">
        <v>709</v>
      </c>
      <c r="C78" s="800">
        <v>3241.0028299999999</v>
      </c>
      <c r="D78" s="843">
        <v>2263.7016790260022</v>
      </c>
      <c r="E78" s="823">
        <v>3.006909179967E-3</v>
      </c>
      <c r="F78" s="844">
        <f t="shared" si="10"/>
        <v>2.9386558024560285</v>
      </c>
      <c r="G78" s="800">
        <f t="shared" si="11"/>
        <v>28</v>
      </c>
      <c r="H78" s="845">
        <f t="shared" si="12"/>
        <v>8.2282362468768795E-5</v>
      </c>
      <c r="I78" s="806"/>
      <c r="J78" s="686"/>
      <c r="K78" s="806"/>
      <c r="L78" s="686"/>
      <c r="M78" s="1"/>
    </row>
    <row r="79" spans="2:13" ht="12.75" customHeight="1">
      <c r="B79" s="842" t="s">
        <v>719</v>
      </c>
      <c r="C79" s="800">
        <v>2154.1493500000001</v>
      </c>
      <c r="D79" s="843">
        <v>2154.1493500000001</v>
      </c>
      <c r="E79" s="823">
        <v>3.006909179967E-3</v>
      </c>
      <c r="F79" s="844">
        <f t="shared" si="10"/>
        <v>0</v>
      </c>
      <c r="G79" s="800">
        <f t="shared" si="11"/>
        <v>28</v>
      </c>
      <c r="H79" s="845">
        <f t="shared" si="12"/>
        <v>0</v>
      </c>
      <c r="I79" s="806"/>
      <c r="J79" s="686"/>
      <c r="K79" s="806"/>
      <c r="L79" s="686"/>
      <c r="M79" s="1"/>
    </row>
    <row r="80" spans="2:13" ht="12.75" customHeight="1">
      <c r="B80" s="842" t="s">
        <v>633</v>
      </c>
      <c r="C80" s="800">
        <v>5394.6696899999997</v>
      </c>
      <c r="D80" s="843">
        <v>0</v>
      </c>
      <c r="E80" s="823">
        <v>3.006909179967E-3</v>
      </c>
      <c r="F80" s="844">
        <f t="shared" si="10"/>
        <v>16.221281813750728</v>
      </c>
      <c r="G80" s="800">
        <f t="shared" si="11"/>
        <v>28</v>
      </c>
      <c r="H80" s="845">
        <f t="shared" si="12"/>
        <v>4.5419589078502041E-4</v>
      </c>
      <c r="I80" s="806"/>
      <c r="J80" s="686"/>
      <c r="K80" s="806"/>
      <c r="L80" s="686"/>
      <c r="M80" s="1"/>
    </row>
    <row r="81" spans="2:13" ht="25.5" customHeight="1">
      <c r="B81" s="846" t="s">
        <v>797</v>
      </c>
      <c r="C81" s="800">
        <v>0</v>
      </c>
      <c r="D81" s="843">
        <v>0</v>
      </c>
      <c r="E81" s="823">
        <v>3.006909179967E-3</v>
      </c>
      <c r="F81" s="844">
        <f t="shared" si="10"/>
        <v>0</v>
      </c>
      <c r="G81" s="800">
        <f t="shared" si="11"/>
        <v>28</v>
      </c>
      <c r="H81" s="845">
        <f t="shared" si="12"/>
        <v>0</v>
      </c>
      <c r="I81" s="806"/>
      <c r="J81" s="686"/>
      <c r="K81" s="806"/>
      <c r="L81" s="686"/>
      <c r="M81" s="1"/>
    </row>
    <row r="82" spans="2:13" ht="12.75" customHeight="1">
      <c r="B82" s="842" t="s">
        <v>798</v>
      </c>
      <c r="C82" s="800">
        <v>157.07159999999999</v>
      </c>
      <c r="D82" s="843">
        <v>157.07159999999999</v>
      </c>
      <c r="E82" s="823">
        <v>3.006909179967E-3</v>
      </c>
      <c r="F82" s="847">
        <f t="shared" si="10"/>
        <v>0</v>
      </c>
      <c r="G82" s="800">
        <f t="shared" si="11"/>
        <v>28</v>
      </c>
      <c r="H82" s="848">
        <f t="shared" si="12"/>
        <v>0</v>
      </c>
      <c r="I82" s="806"/>
      <c r="J82" s="686"/>
      <c r="K82" s="806"/>
      <c r="L82" s="686"/>
      <c r="M82" s="1"/>
    </row>
    <row r="83" spans="2:13" ht="12.75" customHeight="1">
      <c r="B83" s="842" t="s">
        <v>799</v>
      </c>
      <c r="C83" s="800">
        <v>0</v>
      </c>
      <c r="D83" s="843">
        <v>0</v>
      </c>
      <c r="E83" s="823">
        <v>3.006909179967E-3</v>
      </c>
      <c r="F83" s="844">
        <f t="shared" si="10"/>
        <v>0</v>
      </c>
      <c r="G83" s="800">
        <f t="shared" si="11"/>
        <v>28</v>
      </c>
      <c r="H83" s="845">
        <f t="shared" si="12"/>
        <v>0</v>
      </c>
      <c r="I83" s="806"/>
      <c r="J83" s="686"/>
      <c r="K83" s="806"/>
      <c r="L83" s="686"/>
      <c r="M83" s="1"/>
    </row>
    <row r="84" spans="2:13" ht="12.75" customHeight="1">
      <c r="B84" s="842" t="s">
        <v>800</v>
      </c>
      <c r="C84" s="800">
        <v>161.77572000000001</v>
      </c>
      <c r="D84" s="843">
        <v>122.04430006839266</v>
      </c>
      <c r="E84" s="823">
        <v>3.006909179967E-3</v>
      </c>
      <c r="F84" s="844">
        <f t="shared" si="10"/>
        <v>0.11946877132547397</v>
      </c>
      <c r="G84" s="800">
        <f t="shared" si="11"/>
        <v>28</v>
      </c>
      <c r="H84" s="845">
        <f t="shared" si="12"/>
        <v>3.3451255971132711E-6</v>
      </c>
      <c r="I84" s="806"/>
      <c r="J84" s="686"/>
      <c r="K84" s="806"/>
      <c r="L84" s="686"/>
      <c r="M84" s="1"/>
    </row>
    <row r="85" spans="2:13" ht="12.75" customHeight="1">
      <c r="B85" s="842" t="s">
        <v>458</v>
      </c>
      <c r="C85" s="800">
        <v>4766.90751</v>
      </c>
      <c r="D85" s="843">
        <v>0</v>
      </c>
      <c r="E85" s="823">
        <v>3.006909179967E-3</v>
      </c>
      <c r="F85" s="844">
        <f t="shared" si="10"/>
        <v>14.333657951872633</v>
      </c>
      <c r="G85" s="800">
        <f t="shared" si="11"/>
        <v>28</v>
      </c>
      <c r="H85" s="845">
        <f t="shared" si="12"/>
        <v>4.0134242265243368E-4</v>
      </c>
      <c r="I85" s="806"/>
      <c r="J85" s="686"/>
      <c r="K85" s="806"/>
      <c r="L85" s="686"/>
      <c r="M85" s="1"/>
    </row>
    <row r="86" spans="2:13" ht="12.75" customHeight="1">
      <c r="B86" s="842" t="s">
        <v>801</v>
      </c>
      <c r="C86" s="800">
        <v>0</v>
      </c>
      <c r="D86" s="843">
        <v>0</v>
      </c>
      <c r="E86" s="823">
        <v>3.006909179967E-3</v>
      </c>
      <c r="F86" s="844">
        <f t="shared" si="10"/>
        <v>0</v>
      </c>
      <c r="G86" s="800">
        <f t="shared" si="11"/>
        <v>28</v>
      </c>
      <c r="H86" s="845">
        <f t="shared" si="12"/>
        <v>0</v>
      </c>
      <c r="I86" s="806"/>
      <c r="J86" s="686"/>
      <c r="K86" s="806"/>
      <c r="L86" s="686"/>
      <c r="M86" s="1"/>
    </row>
    <row r="87" spans="2:13" ht="12.75" customHeight="1">
      <c r="B87" s="842" t="s">
        <v>802</v>
      </c>
      <c r="C87" s="800">
        <v>3076.9398200000001</v>
      </c>
      <c r="D87" s="843">
        <v>3034.4904438139852</v>
      </c>
      <c r="E87" s="823">
        <v>3.006909179967E-3</v>
      </c>
      <c r="F87" s="844">
        <f t="shared" si="10"/>
        <v>0.12764141893760073</v>
      </c>
      <c r="G87" s="800">
        <f t="shared" si="11"/>
        <v>28</v>
      </c>
      <c r="H87" s="845">
        <f t="shared" si="12"/>
        <v>3.5739597302528205E-6</v>
      </c>
      <c r="I87" s="806"/>
      <c r="J87" s="686"/>
      <c r="K87" s="806"/>
      <c r="L87" s="686"/>
      <c r="M87" s="1"/>
    </row>
    <row r="88" spans="2:13" ht="12.75" customHeight="1">
      <c r="B88" s="842" t="s">
        <v>803</v>
      </c>
      <c r="C88" s="800">
        <v>0</v>
      </c>
      <c r="D88" s="843">
        <v>0</v>
      </c>
      <c r="E88" s="823">
        <v>3.006909179967E-3</v>
      </c>
      <c r="F88" s="844">
        <f t="shared" si="10"/>
        <v>0</v>
      </c>
      <c r="G88" s="800">
        <f t="shared" si="11"/>
        <v>28</v>
      </c>
      <c r="H88" s="845">
        <f t="shared" si="12"/>
        <v>0</v>
      </c>
      <c r="I88" s="806"/>
      <c r="J88" s="686"/>
      <c r="K88" s="806"/>
      <c r="L88" s="686"/>
      <c r="M88" s="1"/>
    </row>
    <row r="89" spans="2:13" ht="12.75" customHeight="1">
      <c r="B89" s="842" t="s">
        <v>804</v>
      </c>
      <c r="C89" s="800">
        <v>241.17277999999999</v>
      </c>
      <c r="D89" s="843">
        <v>241.17277999999999</v>
      </c>
      <c r="E89" s="823">
        <v>3.006909179967E-3</v>
      </c>
      <c r="F89" s="844">
        <f t="shared" si="10"/>
        <v>0</v>
      </c>
      <c r="G89" s="800">
        <f t="shared" si="11"/>
        <v>28</v>
      </c>
      <c r="H89" s="845">
        <f t="shared" si="12"/>
        <v>0</v>
      </c>
      <c r="I89" s="806"/>
      <c r="J89" s="686"/>
      <c r="K89" s="806"/>
      <c r="L89" s="686"/>
      <c r="M89" s="1"/>
    </row>
    <row r="90" spans="2:13" ht="12.75" customHeight="1">
      <c r="B90" s="842" t="s">
        <v>399</v>
      </c>
      <c r="C90" s="800">
        <v>23810.834429999999</v>
      </c>
      <c r="D90" s="843">
        <v>1279.7490342444869</v>
      </c>
      <c r="E90" s="823">
        <v>9.4955026735800007E-4</v>
      </c>
      <c r="F90" s="844">
        <f t="shared" si="10"/>
        <v>21.394398161405576</v>
      </c>
      <c r="G90" s="800">
        <f t="shared" si="11"/>
        <v>28</v>
      </c>
      <c r="H90" s="845">
        <f t="shared" si="12"/>
        <v>5.9904314851935616E-4</v>
      </c>
      <c r="I90" s="806"/>
      <c r="J90" s="686"/>
      <c r="K90" s="806"/>
      <c r="L90" s="686"/>
      <c r="M90" s="1"/>
    </row>
    <row r="91" spans="2:13" ht="12.75" customHeight="1">
      <c r="B91" s="849" t="s">
        <v>755</v>
      </c>
      <c r="C91" s="800">
        <v>12165.362289999999</v>
      </c>
      <c r="D91" s="843" t="s">
        <v>809</v>
      </c>
      <c r="E91" s="823">
        <v>2.8486508020740004E-2</v>
      </c>
      <c r="F91" s="844">
        <f>C91*E91</f>
        <v>346.54869044929296</v>
      </c>
      <c r="G91" s="800">
        <f t="shared" si="11"/>
        <v>28</v>
      </c>
      <c r="H91" s="845">
        <f t="shared" si="12"/>
        <v>9.7033633325802043E-3</v>
      </c>
      <c r="I91" s="806"/>
      <c r="J91" s="686"/>
      <c r="K91" s="806"/>
      <c r="L91" s="686"/>
      <c r="M91" s="1"/>
    </row>
    <row r="92" spans="2:13" ht="14.25" customHeight="1">
      <c r="B92" s="850"/>
      <c r="C92" s="851"/>
      <c r="D92" s="851"/>
      <c r="E92" s="851"/>
      <c r="F92" s="851"/>
      <c r="G92" s="852" t="s">
        <v>152</v>
      </c>
      <c r="H92" s="853">
        <f>SUM(H69:H91)</f>
        <v>2.0775596792841342E-2</v>
      </c>
      <c r="I92" s="183"/>
      <c r="J92" s="707"/>
      <c r="K92" s="183"/>
      <c r="L92" s="707"/>
      <c r="M92" s="1"/>
    </row>
    <row r="93" spans="2:13" ht="12" customHeight="1">
      <c r="B93" s="854"/>
      <c r="C93" s="855"/>
      <c r="D93" s="855"/>
      <c r="E93" s="855"/>
      <c r="F93" s="855"/>
      <c r="G93" s="855"/>
      <c r="H93" s="856"/>
      <c r="I93" s="1"/>
      <c r="J93" s="1"/>
      <c r="K93" s="1"/>
      <c r="L93" s="1"/>
      <c r="M93" s="1"/>
    </row>
    <row r="94" spans="2:13" ht="12" customHeight="1"/>
    <row r="95" spans="2:13" ht="11.25" customHeight="1"/>
    <row r="96" spans="2:13" ht="21.75" customHeight="1">
      <c r="B96" s="715" t="s">
        <v>811</v>
      </c>
      <c r="C96" s="857"/>
      <c r="D96" s="715">
        <v>2006</v>
      </c>
      <c r="E96" s="1"/>
      <c r="F96" s="1"/>
      <c r="G96" s="1"/>
      <c r="H96" s="1"/>
    </row>
    <row r="97" spans="2:16" ht="21.75" customHeight="1">
      <c r="B97" s="829"/>
      <c r="C97" s="858" t="s">
        <v>788</v>
      </c>
      <c r="D97" s="858" t="s">
        <v>715</v>
      </c>
      <c r="E97" s="859" t="s">
        <v>812</v>
      </c>
      <c r="F97" s="860" t="s">
        <v>813</v>
      </c>
      <c r="G97" s="860" t="s">
        <v>814</v>
      </c>
      <c r="H97" s="861" t="s">
        <v>781</v>
      </c>
      <c r="J97" s="278"/>
      <c r="K97" s="630"/>
      <c r="L97" s="630"/>
      <c r="M97" s="862"/>
      <c r="N97" s="862"/>
      <c r="O97" s="862"/>
      <c r="P97" s="862"/>
    </row>
    <row r="98" spans="2:16" ht="11.25" customHeight="1">
      <c r="B98" s="832"/>
      <c r="C98" s="630" t="s">
        <v>68</v>
      </c>
      <c r="D98" s="630" t="s">
        <v>68</v>
      </c>
      <c r="E98" s="863" t="s">
        <v>95</v>
      </c>
      <c r="F98" s="864" t="s">
        <v>95</v>
      </c>
      <c r="G98" s="864" t="s">
        <v>95</v>
      </c>
      <c r="H98" s="865" t="s">
        <v>95</v>
      </c>
      <c r="J98" s="1"/>
      <c r="K98" s="630"/>
      <c r="L98" s="630"/>
      <c r="M98" s="307"/>
      <c r="N98" s="307"/>
      <c r="O98" s="307"/>
      <c r="P98" s="307"/>
    </row>
    <row r="99" spans="2:16" ht="12" customHeight="1">
      <c r="B99" s="834" t="s">
        <v>238</v>
      </c>
      <c r="C99" s="866" t="s">
        <v>453</v>
      </c>
      <c r="D99" s="866" t="s">
        <v>453</v>
      </c>
      <c r="E99" s="867" t="s">
        <v>815</v>
      </c>
      <c r="F99" s="763" t="s">
        <v>816</v>
      </c>
      <c r="G99" s="763" t="s">
        <v>817</v>
      </c>
      <c r="H99" s="764" t="s">
        <v>818</v>
      </c>
      <c r="J99" s="631"/>
      <c r="K99" s="630"/>
      <c r="L99" s="630"/>
      <c r="M99" s="307"/>
      <c r="N99" s="307"/>
      <c r="O99" s="307"/>
      <c r="P99" s="307"/>
    </row>
    <row r="100" spans="2:16" ht="12.75" customHeight="1">
      <c r="B100" s="836" t="s">
        <v>790</v>
      </c>
      <c r="C100" s="868">
        <f t="shared" ref="C100:D100" si="13">C69</f>
        <v>0</v>
      </c>
      <c r="D100" s="868">
        <f t="shared" si="13"/>
        <v>0</v>
      </c>
      <c r="E100" s="869">
        <f t="shared" ref="E100:E122" si="14">J8</f>
        <v>0</v>
      </c>
      <c r="F100" s="870">
        <f t="shared" ref="F100:F122" si="15">H69</f>
        <v>0</v>
      </c>
      <c r="G100" s="871">
        <f t="shared" ref="G100:G122" si="16">H38</f>
        <v>0</v>
      </c>
      <c r="H100" s="841">
        <f t="shared" ref="H100:H122" si="17">SUM(E100:G100)</f>
        <v>0</v>
      </c>
      <c r="J100" s="279"/>
      <c r="K100" s="872"/>
      <c r="L100" s="873"/>
      <c r="M100" s="874"/>
      <c r="N100" s="875"/>
      <c r="O100" s="876"/>
      <c r="P100" s="877"/>
    </row>
    <row r="101" spans="2:16" ht="12.75" customHeight="1">
      <c r="B101" s="842" t="s">
        <v>791</v>
      </c>
      <c r="C101" s="800">
        <f t="shared" ref="C101:D101" si="18">C70</f>
        <v>30430.66779</v>
      </c>
      <c r="D101" s="800">
        <f t="shared" si="18"/>
        <v>307.25402853954921</v>
      </c>
      <c r="E101" s="878">
        <f t="shared" si="14"/>
        <v>2.8773830948334669</v>
      </c>
      <c r="F101" s="844">
        <f t="shared" si="15"/>
        <v>8.4539811413194364E-3</v>
      </c>
      <c r="G101" s="879">
        <f t="shared" si="16"/>
        <v>1.2001633941694559E-2</v>
      </c>
      <c r="H101" s="845">
        <f t="shared" si="17"/>
        <v>2.8978387099164808</v>
      </c>
      <c r="J101" s="279"/>
      <c r="K101" s="872"/>
      <c r="L101" s="873"/>
      <c r="M101" s="874"/>
      <c r="N101" s="875"/>
      <c r="O101" s="876"/>
      <c r="P101" s="877"/>
    </row>
    <row r="102" spans="2:16" ht="12.75" customHeight="1">
      <c r="B102" s="842" t="s">
        <v>792</v>
      </c>
      <c r="C102" s="800">
        <f t="shared" ref="C102:D102" si="19">C71</f>
        <v>19576.189249999999</v>
      </c>
      <c r="D102" s="800">
        <f t="shared" si="19"/>
        <v>19576.189249999999</v>
      </c>
      <c r="E102" s="878">
        <f t="shared" si="14"/>
        <v>0</v>
      </c>
      <c r="F102" s="844">
        <f t="shared" si="15"/>
        <v>0</v>
      </c>
      <c r="G102" s="879">
        <f t="shared" si="16"/>
        <v>0</v>
      </c>
      <c r="H102" s="845">
        <f t="shared" si="17"/>
        <v>0</v>
      </c>
      <c r="J102" s="279"/>
      <c r="K102" s="872"/>
      <c r="L102" s="873"/>
      <c r="M102" s="874"/>
      <c r="N102" s="875"/>
      <c r="O102" s="876"/>
      <c r="P102" s="877"/>
    </row>
    <row r="103" spans="2:16" ht="25.5" customHeight="1">
      <c r="B103" s="846" t="s">
        <v>793</v>
      </c>
      <c r="C103" s="800">
        <f t="shared" ref="C103:D103" si="20">C72</f>
        <v>0</v>
      </c>
      <c r="D103" s="800">
        <f t="shared" si="20"/>
        <v>0</v>
      </c>
      <c r="E103" s="869">
        <f t="shared" si="14"/>
        <v>0</v>
      </c>
      <c r="F103" s="844">
        <f t="shared" si="15"/>
        <v>0</v>
      </c>
      <c r="G103" s="879">
        <f t="shared" si="16"/>
        <v>0</v>
      </c>
      <c r="H103" s="845">
        <f t="shared" si="17"/>
        <v>0</v>
      </c>
      <c r="J103" s="880"/>
      <c r="K103" s="872"/>
      <c r="L103" s="873"/>
      <c r="M103" s="874"/>
      <c r="N103" s="875"/>
      <c r="O103" s="876"/>
      <c r="P103" s="877"/>
    </row>
    <row r="104" spans="2:16" ht="12.75" customHeight="1">
      <c r="B104" s="846" t="s">
        <v>794</v>
      </c>
      <c r="C104" s="800">
        <f t="shared" ref="C104:D104" si="21">C73</f>
        <v>0</v>
      </c>
      <c r="D104" s="800">
        <f t="shared" si="21"/>
        <v>0</v>
      </c>
      <c r="E104" s="878">
        <f t="shared" si="14"/>
        <v>0</v>
      </c>
      <c r="F104" s="870">
        <f t="shared" si="15"/>
        <v>0</v>
      </c>
      <c r="G104" s="871">
        <f t="shared" si="16"/>
        <v>0</v>
      </c>
      <c r="H104" s="845">
        <f t="shared" si="17"/>
        <v>0</v>
      </c>
      <c r="J104" s="880"/>
      <c r="K104" s="872"/>
      <c r="L104" s="873"/>
      <c r="M104" s="874"/>
      <c r="N104" s="875"/>
      <c r="O104" s="876"/>
      <c r="P104" s="877"/>
    </row>
    <row r="105" spans="2:16" ht="12.75" customHeight="1">
      <c r="B105" s="842" t="s">
        <v>457</v>
      </c>
      <c r="C105" s="800">
        <f t="shared" ref="C105:D105" si="22">C74</f>
        <v>12446.073039999999</v>
      </c>
      <c r="D105" s="800">
        <f t="shared" si="22"/>
        <v>118.8273577409505</v>
      </c>
      <c r="E105" s="878">
        <f t="shared" si="14"/>
        <v>0.90526586245554674</v>
      </c>
      <c r="F105" s="844">
        <f t="shared" si="15"/>
        <v>1.0378734297594124E-3</v>
      </c>
      <c r="G105" s="879">
        <f t="shared" si="16"/>
        <v>1.964546134901744E-3</v>
      </c>
      <c r="H105" s="845">
        <f t="shared" si="17"/>
        <v>0.90826828202020782</v>
      </c>
      <c r="J105" s="279"/>
      <c r="K105" s="872"/>
      <c r="L105" s="873"/>
      <c r="M105" s="874"/>
      <c r="N105" s="875"/>
      <c r="O105" s="876"/>
      <c r="P105" s="877"/>
    </row>
    <row r="106" spans="2:16" ht="25.5" customHeight="1">
      <c r="B106" s="846" t="s">
        <v>795</v>
      </c>
      <c r="C106" s="800">
        <f t="shared" ref="C106:D106" si="23">C76</f>
        <v>912.92358999999999</v>
      </c>
      <c r="D106" s="800">
        <f t="shared" si="23"/>
        <v>661.47104106953759</v>
      </c>
      <c r="E106" s="869">
        <f t="shared" si="14"/>
        <v>1.8826539074058166E-2</v>
      </c>
      <c r="F106" s="844">
        <f t="shared" si="15"/>
        <v>9.2337342337936654E-7</v>
      </c>
      <c r="G106" s="879">
        <f t="shared" si="16"/>
        <v>1.7478139799680863E-6</v>
      </c>
      <c r="H106" s="845">
        <f t="shared" si="17"/>
        <v>1.8829210261461511E-2</v>
      </c>
      <c r="J106" s="880"/>
      <c r="K106" s="872"/>
      <c r="L106" s="873"/>
      <c r="M106" s="874"/>
      <c r="N106" s="875"/>
      <c r="O106" s="876"/>
      <c r="P106" s="877"/>
    </row>
    <row r="107" spans="2:16" ht="25.5" customHeight="1">
      <c r="B107" s="846" t="s">
        <v>796</v>
      </c>
      <c r="C107" s="800">
        <f t="shared" ref="C107:D107" si="24">C76</f>
        <v>912.92358999999999</v>
      </c>
      <c r="D107" s="800">
        <f t="shared" si="24"/>
        <v>661.47104106953759</v>
      </c>
      <c r="E107" s="878">
        <f t="shared" si="14"/>
        <v>3.6786787211790468E-2</v>
      </c>
      <c r="F107" s="844">
        <f t="shared" si="15"/>
        <v>2.1170659375743038E-5</v>
      </c>
      <c r="G107" s="879">
        <f t="shared" si="16"/>
        <v>4.0073033818370746E-5</v>
      </c>
      <c r="H107" s="845">
        <f t="shared" si="17"/>
        <v>3.6848030904984584E-2</v>
      </c>
      <c r="J107" s="880"/>
      <c r="K107" s="872"/>
      <c r="L107" s="873"/>
      <c r="M107" s="874"/>
      <c r="N107" s="875"/>
      <c r="O107" s="876"/>
      <c r="P107" s="877"/>
    </row>
    <row r="108" spans="2:16" ht="12.75" customHeight="1">
      <c r="B108" s="842" t="s">
        <v>376</v>
      </c>
      <c r="C108" s="800">
        <f t="shared" ref="C108:D108" si="25">C77</f>
        <v>172.24553</v>
      </c>
      <c r="D108" s="800">
        <f t="shared" si="25"/>
        <v>0</v>
      </c>
      <c r="E108" s="878">
        <f t="shared" si="14"/>
        <v>1.2443252666475536E-2</v>
      </c>
      <c r="F108" s="870">
        <f t="shared" si="15"/>
        <v>1.4501946630227876E-5</v>
      </c>
      <c r="G108" s="871">
        <f t="shared" si="16"/>
        <v>2.74501132643599E-5</v>
      </c>
      <c r="H108" s="845">
        <f t="shared" si="17"/>
        <v>1.2485204726370124E-2</v>
      </c>
      <c r="J108" s="279"/>
      <c r="K108" s="872"/>
      <c r="L108" s="873"/>
      <c r="M108" s="874"/>
      <c r="N108" s="875"/>
      <c r="O108" s="876"/>
      <c r="P108" s="877"/>
    </row>
    <row r="109" spans="2:16" ht="12.75" customHeight="1">
      <c r="B109" s="842" t="s">
        <v>709</v>
      </c>
      <c r="C109" s="800">
        <f t="shared" ref="C109:D109" si="26">C78</f>
        <v>3241.0028299999999</v>
      </c>
      <c r="D109" s="800">
        <f t="shared" si="26"/>
        <v>2263.7016790260022</v>
      </c>
      <c r="E109" s="869">
        <f t="shared" si="14"/>
        <v>0.11457717643302107</v>
      </c>
      <c r="F109" s="844">
        <f t="shared" si="15"/>
        <v>8.2282362468768795E-5</v>
      </c>
      <c r="G109" s="879">
        <f t="shared" si="16"/>
        <v>1.5574875753016949E-4</v>
      </c>
      <c r="H109" s="845">
        <f t="shared" si="17"/>
        <v>0.11481520755302001</v>
      </c>
      <c r="J109" s="279"/>
      <c r="K109" s="872"/>
      <c r="L109" s="873"/>
      <c r="M109" s="874"/>
      <c r="N109" s="875"/>
      <c r="O109" s="876"/>
      <c r="P109" s="877"/>
    </row>
    <row r="110" spans="2:16" ht="12.75" customHeight="1">
      <c r="B110" s="842" t="s">
        <v>719</v>
      </c>
      <c r="C110" s="800">
        <f t="shared" ref="C110:D110" si="27">C79</f>
        <v>2154.1493500000001</v>
      </c>
      <c r="D110" s="800">
        <f t="shared" si="27"/>
        <v>2154.1493500000001</v>
      </c>
      <c r="E110" s="878">
        <f t="shared" si="14"/>
        <v>0.144964897751411</v>
      </c>
      <c r="F110" s="844">
        <f t="shared" si="15"/>
        <v>0</v>
      </c>
      <c r="G110" s="879">
        <f t="shared" si="16"/>
        <v>0</v>
      </c>
      <c r="H110" s="845">
        <f t="shared" si="17"/>
        <v>0.144964897751411</v>
      </c>
      <c r="J110" s="279"/>
      <c r="K110" s="872"/>
      <c r="L110" s="873"/>
      <c r="M110" s="874"/>
      <c r="N110" s="875"/>
      <c r="O110" s="876"/>
      <c r="P110" s="877"/>
    </row>
    <row r="111" spans="2:16" ht="12.75" customHeight="1">
      <c r="B111" s="842" t="s">
        <v>633</v>
      </c>
      <c r="C111" s="800">
        <f t="shared" ref="C111:D111" si="28">C80</f>
        <v>5394.6696899999997</v>
      </c>
      <c r="D111" s="800">
        <f t="shared" si="28"/>
        <v>0</v>
      </c>
      <c r="E111" s="878">
        <f t="shared" si="14"/>
        <v>0.36679199140231694</v>
      </c>
      <c r="F111" s="844">
        <f t="shared" si="15"/>
        <v>4.5419589078502041E-4</v>
      </c>
      <c r="G111" s="879">
        <f t="shared" si="16"/>
        <v>8.5972793612878844E-4</v>
      </c>
      <c r="H111" s="845">
        <f t="shared" si="17"/>
        <v>0.36810591522923075</v>
      </c>
      <c r="J111" s="279"/>
      <c r="K111" s="872"/>
      <c r="L111" s="873"/>
      <c r="M111" s="874"/>
      <c r="N111" s="875"/>
      <c r="O111" s="876"/>
      <c r="P111" s="877"/>
    </row>
    <row r="112" spans="2:16" ht="25.5" customHeight="1">
      <c r="B112" s="846" t="s">
        <v>797</v>
      </c>
      <c r="C112" s="800">
        <f t="shared" ref="C112:D112" si="29">C81</f>
        <v>0</v>
      </c>
      <c r="D112" s="800">
        <f t="shared" si="29"/>
        <v>0</v>
      </c>
      <c r="E112" s="869">
        <f t="shared" si="14"/>
        <v>0</v>
      </c>
      <c r="F112" s="870">
        <f t="shared" si="15"/>
        <v>0</v>
      </c>
      <c r="G112" s="871">
        <f t="shared" si="16"/>
        <v>0</v>
      </c>
      <c r="H112" s="845">
        <f t="shared" si="17"/>
        <v>0</v>
      </c>
      <c r="J112" s="880"/>
      <c r="K112" s="872"/>
      <c r="L112" s="873"/>
      <c r="M112" s="874"/>
      <c r="N112" s="875"/>
      <c r="O112" s="876"/>
      <c r="P112" s="877"/>
    </row>
    <row r="113" spans="2:16" ht="12.75" customHeight="1">
      <c r="B113" s="842" t="s">
        <v>798</v>
      </c>
      <c r="C113" s="800">
        <f t="shared" ref="C113:D113" si="30">C82</f>
        <v>157.07159999999999</v>
      </c>
      <c r="D113" s="800">
        <f t="shared" si="30"/>
        <v>157.07159999999999</v>
      </c>
      <c r="E113" s="878">
        <f t="shared" si="14"/>
        <v>1.170948733940474E-2</v>
      </c>
      <c r="F113" s="844">
        <f t="shared" si="15"/>
        <v>0</v>
      </c>
      <c r="G113" s="879">
        <f t="shared" si="16"/>
        <v>0</v>
      </c>
      <c r="H113" s="845">
        <f t="shared" si="17"/>
        <v>1.170948733940474E-2</v>
      </c>
      <c r="J113" s="279"/>
      <c r="K113" s="872"/>
      <c r="L113" s="873"/>
      <c r="M113" s="874"/>
      <c r="N113" s="875"/>
      <c r="O113" s="876"/>
      <c r="P113" s="877"/>
    </row>
    <row r="114" spans="2:16" ht="12.75" customHeight="1">
      <c r="B114" s="842" t="s">
        <v>799</v>
      </c>
      <c r="C114" s="800">
        <f t="shared" ref="C114:D114" si="31">C83</f>
        <v>0</v>
      </c>
      <c r="D114" s="800">
        <f t="shared" si="31"/>
        <v>0</v>
      </c>
      <c r="E114" s="878">
        <f t="shared" si="14"/>
        <v>0</v>
      </c>
      <c r="F114" s="844">
        <f t="shared" si="15"/>
        <v>0</v>
      </c>
      <c r="G114" s="879">
        <f t="shared" si="16"/>
        <v>0</v>
      </c>
      <c r="H114" s="845">
        <f t="shared" si="17"/>
        <v>0</v>
      </c>
      <c r="J114" s="279"/>
      <c r="K114" s="872"/>
      <c r="L114" s="873"/>
      <c r="M114" s="874"/>
      <c r="N114" s="875"/>
      <c r="O114" s="876"/>
      <c r="P114" s="877"/>
    </row>
    <row r="115" spans="2:16" ht="12.75" customHeight="1">
      <c r="B115" s="842" t="s">
        <v>800</v>
      </c>
      <c r="C115" s="800">
        <f t="shared" ref="C115:D115" si="32">C84</f>
        <v>161.77572000000001</v>
      </c>
      <c r="D115" s="800">
        <f t="shared" si="32"/>
        <v>122.04430006839266</v>
      </c>
      <c r="E115" s="869">
        <f t="shared" si="14"/>
        <v>5.7603552799029073E-3</v>
      </c>
      <c r="F115" s="844">
        <f t="shared" si="15"/>
        <v>3.3451255971132711E-6</v>
      </c>
      <c r="G115" s="879">
        <f t="shared" si="16"/>
        <v>6.3318448802501189E-6</v>
      </c>
      <c r="H115" s="845">
        <f t="shared" si="17"/>
        <v>5.7700322503802708E-3</v>
      </c>
      <c r="J115" s="279"/>
      <c r="K115" s="872"/>
      <c r="L115" s="873"/>
      <c r="M115" s="874"/>
      <c r="N115" s="875"/>
      <c r="O115" s="876"/>
      <c r="P115" s="877"/>
    </row>
    <row r="116" spans="2:16" ht="12.75" customHeight="1">
      <c r="B116" s="842" t="s">
        <v>458</v>
      </c>
      <c r="C116" s="800">
        <f t="shared" ref="C116:D116" si="33">C85</f>
        <v>4766.90751</v>
      </c>
      <c r="D116" s="800">
        <f t="shared" si="33"/>
        <v>0</v>
      </c>
      <c r="E116" s="878">
        <f t="shared" si="14"/>
        <v>0.37527720902788697</v>
      </c>
      <c r="F116" s="870">
        <f t="shared" si="15"/>
        <v>4.0134242265243368E-4</v>
      </c>
      <c r="G116" s="871">
        <f t="shared" si="16"/>
        <v>7.5968387144924928E-4</v>
      </c>
      <c r="H116" s="845">
        <f t="shared" si="17"/>
        <v>0.37643823532198867</v>
      </c>
      <c r="J116" s="279"/>
      <c r="K116" s="872"/>
      <c r="L116" s="873"/>
      <c r="M116" s="874"/>
      <c r="N116" s="875"/>
      <c r="O116" s="876"/>
      <c r="P116" s="877"/>
    </row>
    <row r="117" spans="2:16" ht="12.75" customHeight="1">
      <c r="B117" s="842" t="s">
        <v>801</v>
      </c>
      <c r="C117" s="800">
        <f t="shared" ref="C117:D117" si="34">C86</f>
        <v>0</v>
      </c>
      <c r="D117" s="800">
        <f t="shared" si="34"/>
        <v>0</v>
      </c>
      <c r="E117" s="878">
        <f t="shared" si="14"/>
        <v>0</v>
      </c>
      <c r="F117" s="844">
        <f t="shared" si="15"/>
        <v>0</v>
      </c>
      <c r="G117" s="879">
        <f t="shared" si="16"/>
        <v>0</v>
      </c>
      <c r="H117" s="845">
        <f t="shared" si="17"/>
        <v>0</v>
      </c>
      <c r="J117" s="279"/>
      <c r="K117" s="872"/>
      <c r="L117" s="873"/>
      <c r="M117" s="874"/>
      <c r="N117" s="875"/>
      <c r="O117" s="876"/>
      <c r="P117" s="877"/>
    </row>
    <row r="118" spans="2:16" ht="12.75" customHeight="1">
      <c r="B118" s="842" t="s">
        <v>802</v>
      </c>
      <c r="C118" s="800">
        <f t="shared" ref="C118:D118" si="35">C87</f>
        <v>3076.9398200000001</v>
      </c>
      <c r="D118" s="800">
        <f t="shared" si="35"/>
        <v>3034.4904438139852</v>
      </c>
      <c r="E118" s="869">
        <f t="shared" si="14"/>
        <v>0.22386041026805226</v>
      </c>
      <c r="F118" s="844">
        <f t="shared" si="15"/>
        <v>3.5739597302528205E-6</v>
      </c>
      <c r="G118" s="879">
        <f t="shared" si="16"/>
        <v>6.7649952036928366E-6</v>
      </c>
      <c r="H118" s="845">
        <f t="shared" si="17"/>
        <v>0.22387074922298619</v>
      </c>
      <c r="J118" s="279"/>
      <c r="K118" s="872"/>
      <c r="L118" s="873"/>
      <c r="M118" s="874"/>
      <c r="N118" s="875"/>
      <c r="O118" s="876"/>
      <c r="P118" s="877"/>
    </row>
    <row r="119" spans="2:16" ht="12.75" customHeight="1">
      <c r="B119" s="842" t="s">
        <v>803</v>
      </c>
      <c r="C119" s="800">
        <f t="shared" ref="C119:D119" si="36">C88</f>
        <v>0</v>
      </c>
      <c r="D119" s="800">
        <f t="shared" si="36"/>
        <v>0</v>
      </c>
      <c r="E119" s="878">
        <f t="shared" si="14"/>
        <v>0</v>
      </c>
      <c r="F119" s="844">
        <f t="shared" si="15"/>
        <v>0</v>
      </c>
      <c r="G119" s="879">
        <f t="shared" si="16"/>
        <v>0</v>
      </c>
      <c r="H119" s="845">
        <f t="shared" si="17"/>
        <v>0</v>
      </c>
      <c r="J119" s="279"/>
      <c r="K119" s="872"/>
      <c r="L119" s="873"/>
      <c r="M119" s="874"/>
      <c r="N119" s="875"/>
      <c r="O119" s="876"/>
      <c r="P119" s="877"/>
    </row>
    <row r="120" spans="2:16" ht="12.75" customHeight="1">
      <c r="B120" s="842" t="s">
        <v>804</v>
      </c>
      <c r="C120" s="800">
        <f t="shared" ref="C120:D120" si="37">C89</f>
        <v>241.17277999999999</v>
      </c>
      <c r="D120" s="800">
        <f t="shared" si="37"/>
        <v>241.17277999999999</v>
      </c>
      <c r="E120" s="878">
        <f t="shared" si="14"/>
        <v>7.3509099810563291E-3</v>
      </c>
      <c r="F120" s="870">
        <f t="shared" si="15"/>
        <v>0</v>
      </c>
      <c r="G120" s="871">
        <f t="shared" si="16"/>
        <v>0</v>
      </c>
      <c r="H120" s="845">
        <f t="shared" si="17"/>
        <v>7.3509099810563291E-3</v>
      </c>
      <c r="J120" s="279"/>
      <c r="K120" s="872"/>
      <c r="L120" s="873"/>
      <c r="M120" s="874"/>
      <c r="N120" s="875"/>
      <c r="O120" s="876"/>
      <c r="P120" s="877"/>
    </row>
    <row r="121" spans="2:16" ht="12.75" customHeight="1">
      <c r="B121" s="842" t="s">
        <v>399</v>
      </c>
      <c r="C121" s="800">
        <f t="shared" ref="C121:D121" si="38">C90</f>
        <v>23810.834429999999</v>
      </c>
      <c r="D121" s="800">
        <f t="shared" si="38"/>
        <v>1279.7490342444869</v>
      </c>
      <c r="E121" s="869">
        <f t="shared" si="14"/>
        <v>1.2201783236830441</v>
      </c>
      <c r="F121" s="844">
        <f t="shared" si="15"/>
        <v>5.9904314851935616E-4</v>
      </c>
      <c r="G121" s="879">
        <f t="shared" si="16"/>
        <v>5.6695155127724781E-4</v>
      </c>
      <c r="H121" s="845">
        <f t="shared" si="17"/>
        <v>1.2213443183828407</v>
      </c>
      <c r="J121" s="279"/>
      <c r="K121" s="872"/>
      <c r="L121" s="873"/>
      <c r="M121" s="874"/>
      <c r="N121" s="875"/>
      <c r="O121" s="876"/>
      <c r="P121" s="877"/>
    </row>
    <row r="122" spans="2:16" ht="13.5" customHeight="1">
      <c r="B122" s="849" t="s">
        <v>755</v>
      </c>
      <c r="C122" s="800">
        <f t="shared" ref="C122:D122" si="39">C91</f>
        <v>12165.362289999999</v>
      </c>
      <c r="D122" s="800" t="str">
        <f t="shared" si="39"/>
        <v>NA</v>
      </c>
      <c r="E122" s="878">
        <f t="shared" si="14"/>
        <v>6.321176297407435</v>
      </c>
      <c r="F122" s="844">
        <f t="shared" si="15"/>
        <v>9.7033633325802043E-3</v>
      </c>
      <c r="G122" s="879">
        <f t="shared" si="16"/>
        <v>1.2244720395875017E-2</v>
      </c>
      <c r="H122" s="881">
        <f t="shared" si="17"/>
        <v>6.3431243811358904</v>
      </c>
      <c r="J122" s="59"/>
      <c r="K122" s="872"/>
      <c r="L122" s="873"/>
      <c r="M122" s="874"/>
      <c r="N122" s="875"/>
      <c r="O122" s="876"/>
      <c r="P122" s="877"/>
    </row>
    <row r="123" spans="2:16" ht="15" customHeight="1">
      <c r="B123" s="850"/>
      <c r="C123" s="851"/>
      <c r="D123" s="851"/>
      <c r="E123" s="851"/>
      <c r="F123" s="882"/>
      <c r="G123" s="883" t="s">
        <v>152</v>
      </c>
      <c r="H123" s="884">
        <f>SUM(H100:H122)</f>
        <v>12.691763571997715</v>
      </c>
      <c r="J123" s="1"/>
      <c r="K123" s="1"/>
      <c r="L123" s="1"/>
      <c r="M123" s="1"/>
      <c r="N123" s="876"/>
      <c r="O123" s="885"/>
      <c r="P123" s="725"/>
    </row>
    <row r="124" spans="2:16" ht="12" customHeight="1">
      <c r="B124" s="854"/>
      <c r="C124" s="855"/>
      <c r="D124" s="855"/>
      <c r="E124" s="855"/>
      <c r="F124" s="855"/>
      <c r="G124" s="855"/>
      <c r="H124" s="856"/>
    </row>
    <row r="125" spans="2:16" ht="12" customHeight="1"/>
    <row r="126" spans="2:16" ht="11.25" customHeight="1"/>
    <row r="127" spans="2:16" ht="11.25" customHeight="1">
      <c r="B127" s="46" t="s">
        <v>768</v>
      </c>
    </row>
    <row r="128" spans="2:16"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J2"/>
    <mergeCell ref="J35:K35"/>
  </mergeCells>
  <pageMargins left="0.7" right="0.7" top="0.75" bottom="0.75" header="0" footer="0"/>
  <pageSetup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1000"/>
  <sheetViews>
    <sheetView workbookViewId="0"/>
  </sheetViews>
  <sheetFormatPr defaultColWidth="16.85546875" defaultRowHeight="15" customHeight="1"/>
  <cols>
    <col min="1" max="1" width="4.7109375" customWidth="1"/>
    <col min="2" max="2" width="43.28515625" customWidth="1"/>
    <col min="3" max="3" width="17.42578125" customWidth="1"/>
    <col min="4" max="4" width="5.42578125" customWidth="1"/>
    <col min="5" max="5" width="28.140625" customWidth="1"/>
    <col min="6" max="6" width="5.42578125" customWidth="1"/>
    <col min="7" max="7" width="19.42578125" customWidth="1"/>
    <col min="8" max="8" width="5.42578125" customWidth="1"/>
    <col min="9" max="9" width="18.140625" customWidth="1"/>
    <col min="10" max="10" width="5.42578125" customWidth="1"/>
    <col min="11" max="11" width="17.85546875" customWidth="1"/>
    <col min="12" max="12" width="5.42578125" customWidth="1"/>
    <col min="13" max="13" width="17.140625" customWidth="1"/>
    <col min="14" max="14" width="5.42578125" customWidth="1"/>
    <col min="15" max="15" width="17.85546875" customWidth="1"/>
    <col min="16" max="16" width="10.140625" customWidth="1"/>
    <col min="17" max="19" width="8" customWidth="1"/>
    <col min="20" max="20" width="14.42578125" customWidth="1"/>
    <col min="21" max="21" width="4.28515625" customWidth="1"/>
    <col min="22" max="22" width="14.42578125" customWidth="1"/>
    <col min="23" max="23" width="4.28515625" customWidth="1"/>
    <col min="24" max="24" width="14.42578125" customWidth="1"/>
    <col min="25" max="25" width="10.140625" customWidth="1"/>
    <col min="26" max="26" width="14.85546875" customWidth="1"/>
    <col min="27" max="27" width="14.42578125" customWidth="1"/>
    <col min="28" max="28" width="4.28515625" customWidth="1"/>
    <col min="29" max="29" width="12.85546875" customWidth="1"/>
    <col min="30" max="30" width="4.28515625" customWidth="1"/>
    <col min="31" max="31" width="13.85546875" customWidth="1"/>
    <col min="32" max="33" width="8" customWidth="1"/>
  </cols>
  <sheetData>
    <row r="1" spans="1:33" ht="33" customHeight="1">
      <c r="A1" s="17" t="s">
        <v>622</v>
      </c>
      <c r="B1" s="17"/>
      <c r="C1" s="1"/>
      <c r="D1" s="1"/>
      <c r="E1" s="13"/>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81" customHeight="1">
      <c r="A2" s="1684"/>
      <c r="B2" s="1660"/>
      <c r="C2" s="1660"/>
      <c r="D2" s="1660"/>
      <c r="E2" s="1660"/>
      <c r="F2" s="1660"/>
      <c r="G2" s="1660"/>
      <c r="H2" s="1660"/>
      <c r="I2" s="1660"/>
      <c r="J2" s="1660"/>
      <c r="K2" s="1660"/>
      <c r="L2" s="1"/>
      <c r="M2" s="1"/>
      <c r="N2" s="1"/>
      <c r="O2" s="1"/>
      <c r="P2" s="1"/>
      <c r="Q2" s="1"/>
      <c r="R2" s="1"/>
      <c r="S2" s="1"/>
      <c r="T2" s="1"/>
      <c r="U2" s="1"/>
      <c r="V2" s="1"/>
      <c r="W2" s="1"/>
      <c r="X2" s="1"/>
      <c r="Y2" s="1"/>
      <c r="Z2" s="1"/>
      <c r="AA2" s="1"/>
      <c r="AB2" s="1"/>
      <c r="AC2" s="1"/>
      <c r="AD2" s="1"/>
      <c r="AE2" s="1"/>
      <c r="AF2" s="1"/>
      <c r="AG2" s="1"/>
    </row>
    <row r="3" spans="1:33" ht="21" customHeight="1">
      <c r="B3" s="17" t="s">
        <v>623</v>
      </c>
    </row>
    <row r="4" spans="1:33" ht="18.75" customHeight="1">
      <c r="B4" s="510" t="s">
        <v>624</v>
      </c>
      <c r="C4" s="511" t="s">
        <v>625</v>
      </c>
      <c r="E4" s="511" t="s">
        <v>626</v>
      </c>
      <c r="G4" s="512" t="s">
        <v>453</v>
      </c>
    </row>
    <row r="5" spans="1:33" ht="11.25" customHeight="1">
      <c r="B5" s="274" t="s">
        <v>627</v>
      </c>
      <c r="C5" s="472">
        <v>107.81010999999999</v>
      </c>
      <c r="E5" s="472">
        <v>4526231.38217822</v>
      </c>
      <c r="G5" s="513">
        <f>544009.905172277/1000</f>
        <v>544.00990517227706</v>
      </c>
      <c r="I5" s="485"/>
    </row>
    <row r="6" spans="1:33" ht="11.25" customHeight="1">
      <c r="B6" s="274" t="s">
        <v>628</v>
      </c>
      <c r="C6" s="472">
        <v>14834.5936</v>
      </c>
      <c r="E6" s="472">
        <v>623052931.20000005</v>
      </c>
      <c r="G6" s="472">
        <v>86411.507719999994</v>
      </c>
      <c r="I6" s="485"/>
    </row>
    <row r="7" spans="1:33" ht="11.25" customHeight="1">
      <c r="B7" s="274" t="s">
        <v>629</v>
      </c>
      <c r="C7" s="514">
        <v>0</v>
      </c>
      <c r="E7" s="514">
        <v>0</v>
      </c>
      <c r="G7" s="514">
        <v>0</v>
      </c>
      <c r="I7" s="485"/>
    </row>
    <row r="8" spans="1:33" ht="11.25" customHeight="1">
      <c r="B8" s="274" t="s">
        <v>630</v>
      </c>
      <c r="C8" s="472">
        <v>4144.0214299999998</v>
      </c>
      <c r="E8" s="472">
        <v>23496601.510000002</v>
      </c>
      <c r="G8" s="472">
        <v>23496.60151</v>
      </c>
      <c r="I8" s="485"/>
      <c r="K8" s="514"/>
    </row>
    <row r="9" spans="1:33" ht="11.25" customHeight="1">
      <c r="B9" s="274" t="s">
        <v>631</v>
      </c>
      <c r="C9" s="472">
        <v>43.623379999999997</v>
      </c>
      <c r="E9" s="472">
        <f t="shared" ref="E9:E10" si="0">C9*42*1000</f>
        <v>1832181.96</v>
      </c>
      <c r="G9" s="472">
        <v>157.26228</v>
      </c>
      <c r="I9" s="485"/>
    </row>
    <row r="10" spans="1:33" ht="11.25" customHeight="1">
      <c r="B10" s="274" t="s">
        <v>632</v>
      </c>
      <c r="C10" s="472">
        <v>265.99846000000002</v>
      </c>
      <c r="E10" s="472">
        <f t="shared" si="0"/>
        <v>11171935.32</v>
      </c>
      <c r="G10" s="472">
        <v>1613.2806599999999</v>
      </c>
      <c r="I10" s="485"/>
    </row>
    <row r="11" spans="1:33" ht="12.75" customHeight="1">
      <c r="B11" s="274" t="s">
        <v>633</v>
      </c>
      <c r="C11" s="472">
        <v>64604.700989999998</v>
      </c>
      <c r="E11" s="515">
        <v>2721404088</v>
      </c>
      <c r="G11" s="472">
        <f>E11*C47/1000000000</f>
        <v>338101.80108494399</v>
      </c>
      <c r="I11" s="485"/>
    </row>
    <row r="12" spans="1:33" ht="11.25" customHeight="1">
      <c r="B12" s="274" t="s">
        <v>634</v>
      </c>
      <c r="C12" s="516">
        <v>3892.6155199999998</v>
      </c>
      <c r="E12" s="472">
        <v>163489851.83999997</v>
      </c>
      <c r="G12" s="472">
        <v>13775.966329999999</v>
      </c>
      <c r="I12" s="485"/>
    </row>
    <row r="13" spans="1:33" ht="11.25" customHeight="1">
      <c r="B13" s="274" t="s">
        <v>635</v>
      </c>
      <c r="C13" s="472">
        <v>3236.1390000000001</v>
      </c>
      <c r="E13" s="472">
        <f>C13</f>
        <v>3236.1390000000001</v>
      </c>
      <c r="G13" s="472">
        <v>3348.01233</v>
      </c>
      <c r="I13" s="485"/>
    </row>
    <row r="14" spans="1:33" ht="11.25" customHeight="1">
      <c r="B14" s="274" t="s">
        <v>636</v>
      </c>
      <c r="C14" s="472">
        <v>1221.47559</v>
      </c>
      <c r="E14" s="472">
        <f>C14*42*1000</f>
        <v>51301974.780000001</v>
      </c>
      <c r="G14" s="472">
        <v>7679.4170299999996</v>
      </c>
      <c r="I14" s="485"/>
    </row>
    <row r="15" spans="1:33" ht="11.25" customHeight="1">
      <c r="E15" s="196"/>
    </row>
    <row r="16" spans="1:33" ht="11.25" customHeight="1"/>
    <row r="17" spans="1:33" ht="19.5" customHeight="1">
      <c r="A17" s="3"/>
      <c r="B17" s="517" t="s">
        <v>637</v>
      </c>
      <c r="C17" s="518"/>
      <c r="D17" s="518"/>
      <c r="E17" s="519"/>
      <c r="F17" s="518"/>
      <c r="G17" s="3"/>
      <c r="H17" s="3"/>
      <c r="I17" s="3"/>
      <c r="J17" s="3"/>
      <c r="K17" s="14"/>
      <c r="L17" s="3"/>
      <c r="M17" s="3"/>
      <c r="N17" s="3"/>
      <c r="O17" s="3"/>
      <c r="P17" s="3"/>
      <c r="Q17" s="3"/>
      <c r="R17" s="3"/>
      <c r="S17" s="3"/>
      <c r="T17" s="3"/>
      <c r="U17" s="3"/>
      <c r="V17" s="3"/>
      <c r="W17" s="3"/>
      <c r="X17" s="3"/>
      <c r="Y17" s="3"/>
      <c r="Z17" s="3"/>
      <c r="AA17" s="3"/>
      <c r="AB17" s="3"/>
      <c r="AC17" s="3"/>
      <c r="AD17" s="3"/>
      <c r="AE17" s="3"/>
      <c r="AF17" s="3"/>
      <c r="AG17" s="3"/>
    </row>
    <row r="18" spans="1:33" ht="26.25" customHeight="1">
      <c r="A18" s="332"/>
      <c r="B18" s="520" t="s">
        <v>638</v>
      </c>
      <c r="C18" s="521" t="s">
        <v>77</v>
      </c>
      <c r="D18" s="1711" t="s">
        <v>639</v>
      </c>
      <c r="E18" s="1699"/>
      <c r="F18" s="1712" t="s">
        <v>640</v>
      </c>
      <c r="G18" s="1699"/>
      <c r="H18" s="332"/>
      <c r="I18" s="523" t="s">
        <v>641</v>
      </c>
      <c r="J18" s="332"/>
      <c r="K18" s="524" t="s">
        <v>642</v>
      </c>
      <c r="L18" s="332"/>
      <c r="M18" s="525" t="s">
        <v>643</v>
      </c>
      <c r="N18" s="526"/>
      <c r="O18" s="526"/>
      <c r="P18" s="526"/>
      <c r="Q18" s="526"/>
      <c r="R18" s="526"/>
      <c r="S18" s="526"/>
      <c r="T18" s="332"/>
      <c r="U18" s="526"/>
      <c r="V18" s="526"/>
      <c r="W18" s="526"/>
      <c r="X18" s="332"/>
      <c r="Y18" s="332"/>
      <c r="Z18" s="332"/>
      <c r="AA18" s="332"/>
      <c r="AB18" s="332"/>
      <c r="AC18" s="332"/>
      <c r="AD18" s="332"/>
      <c r="AE18" s="332"/>
      <c r="AF18" s="332"/>
      <c r="AG18" s="332"/>
    </row>
    <row r="19" spans="1:33" ht="12.75" customHeight="1">
      <c r="A19" s="332"/>
      <c r="B19" s="527" t="s">
        <v>644</v>
      </c>
      <c r="C19" s="528">
        <v>2006</v>
      </c>
      <c r="D19" s="1688" t="s">
        <v>645</v>
      </c>
      <c r="E19" s="1689"/>
      <c r="F19" s="1707" t="s">
        <v>646</v>
      </c>
      <c r="G19" s="1689"/>
      <c r="H19" s="332"/>
      <c r="I19" s="529">
        <v>11991000</v>
      </c>
      <c r="J19" s="332"/>
      <c r="K19" s="530">
        <f t="shared" ref="K19:K26" si="1">I19/$I$24</f>
        <v>4.4061813726503085E-3</v>
      </c>
      <c r="L19" s="332"/>
      <c r="M19" s="531">
        <f t="shared" ref="M19:M23" si="2">I19/SUM($I$19:$I$23)</f>
        <v>0.15466235518679342</v>
      </c>
      <c r="N19" s="337"/>
      <c r="O19" s="337"/>
      <c r="P19" s="337"/>
      <c r="Q19" s="337"/>
      <c r="R19" s="337"/>
      <c r="S19" s="337"/>
      <c r="T19" s="332"/>
      <c r="U19" s="337">
        <v>9702000</v>
      </c>
      <c r="V19" s="337"/>
      <c r="W19" s="337"/>
      <c r="X19" s="332"/>
      <c r="Y19" s="332"/>
      <c r="Z19" s="332"/>
      <c r="AA19" s="332"/>
      <c r="AB19" s="332"/>
      <c r="AC19" s="332"/>
      <c r="AD19" s="332"/>
      <c r="AE19" s="332"/>
      <c r="AF19" s="332"/>
      <c r="AG19" s="332"/>
    </row>
    <row r="20" spans="1:33" ht="12.75" customHeight="1">
      <c r="A20" s="332"/>
      <c r="B20" s="532" t="s">
        <v>644</v>
      </c>
      <c r="C20" s="533">
        <v>2006</v>
      </c>
      <c r="D20" s="1688" t="s">
        <v>647</v>
      </c>
      <c r="E20" s="1689"/>
      <c r="F20" s="1707" t="s">
        <v>648</v>
      </c>
      <c r="G20" s="1689"/>
      <c r="H20" s="332"/>
      <c r="I20" s="515">
        <v>10970000</v>
      </c>
      <c r="J20" s="332"/>
      <c r="K20" s="530">
        <f t="shared" si="1"/>
        <v>4.0310073937097728E-3</v>
      </c>
      <c r="L20" s="332"/>
      <c r="M20" s="534">
        <f t="shared" si="2"/>
        <v>0.14149328966717736</v>
      </c>
      <c r="N20" s="337"/>
      <c r="O20" s="337"/>
      <c r="P20" s="337"/>
      <c r="Q20" s="337"/>
      <c r="R20" s="337"/>
      <c r="S20" s="337"/>
      <c r="T20" s="332"/>
      <c r="U20" s="337">
        <v>8297000</v>
      </c>
      <c r="V20" s="337"/>
      <c r="W20" s="337"/>
      <c r="X20" s="332"/>
      <c r="Y20" s="332"/>
      <c r="Z20" s="332"/>
      <c r="AA20" s="332"/>
      <c r="AB20" s="332"/>
      <c r="AC20" s="332"/>
      <c r="AD20" s="332"/>
      <c r="AE20" s="332"/>
      <c r="AF20" s="332"/>
      <c r="AG20" s="332"/>
    </row>
    <row r="21" spans="1:33" ht="12.75" customHeight="1">
      <c r="A21" s="332"/>
      <c r="B21" s="532" t="s">
        <v>644</v>
      </c>
      <c r="C21" s="533">
        <v>2006</v>
      </c>
      <c r="D21" s="1688" t="s">
        <v>649</v>
      </c>
      <c r="E21" s="1689"/>
      <c r="F21" s="1707" t="s">
        <v>650</v>
      </c>
      <c r="G21" s="1689"/>
      <c r="H21" s="332"/>
      <c r="I21" s="515">
        <v>19725000</v>
      </c>
      <c r="J21" s="332"/>
      <c r="K21" s="530">
        <f t="shared" si="1"/>
        <v>7.2480967038218106E-3</v>
      </c>
      <c r="L21" s="332"/>
      <c r="M21" s="534">
        <f t="shared" si="2"/>
        <v>0.25441705913264118</v>
      </c>
      <c r="N21" s="337"/>
      <c r="O21" s="337"/>
      <c r="P21" s="337"/>
      <c r="Q21" s="337"/>
      <c r="R21" s="337"/>
      <c r="S21" s="337"/>
      <c r="T21" s="332"/>
      <c r="U21" s="337">
        <v>24818000</v>
      </c>
      <c r="V21" s="337"/>
      <c r="W21" s="337"/>
      <c r="X21" s="332"/>
      <c r="Y21" s="332"/>
      <c r="Z21" s="332"/>
      <c r="AA21" s="332"/>
      <c r="AB21" s="332"/>
      <c r="AC21" s="332"/>
      <c r="AD21" s="332"/>
      <c r="AE21" s="332"/>
      <c r="AF21" s="332"/>
      <c r="AG21" s="332"/>
    </row>
    <row r="22" spans="1:33" ht="12.75" customHeight="1">
      <c r="A22" s="332"/>
      <c r="B22" s="532" t="s">
        <v>644</v>
      </c>
      <c r="C22" s="533">
        <v>2006</v>
      </c>
      <c r="D22" s="1688" t="s">
        <v>649</v>
      </c>
      <c r="E22" s="1689"/>
      <c r="F22" s="1707" t="s">
        <v>651</v>
      </c>
      <c r="G22" s="1689"/>
      <c r="H22" s="332"/>
      <c r="I22" s="515">
        <v>9811178.4685605839</v>
      </c>
      <c r="J22" s="332"/>
      <c r="K22" s="530">
        <f t="shared" si="1"/>
        <v>3.6051898767341692E-3</v>
      </c>
      <c r="L22" s="332"/>
      <c r="M22" s="534">
        <f t="shared" si="2"/>
        <v>0.12654657402264508</v>
      </c>
      <c r="N22" s="337"/>
      <c r="O22" s="337"/>
      <c r="P22" s="337"/>
      <c r="Q22" s="337"/>
      <c r="R22" s="337"/>
      <c r="S22" s="337"/>
      <c r="T22" s="332"/>
      <c r="U22" s="337">
        <v>16130243.465111727</v>
      </c>
      <c r="V22" s="337"/>
      <c r="W22" s="337"/>
      <c r="X22" s="332"/>
      <c r="Y22" s="332"/>
      <c r="Z22" s="332"/>
      <c r="AA22" s="332"/>
      <c r="AB22" s="332"/>
      <c r="AC22" s="332"/>
      <c r="AD22" s="332"/>
      <c r="AE22" s="332"/>
      <c r="AF22" s="332"/>
      <c r="AG22" s="332"/>
    </row>
    <row r="23" spans="1:33" ht="12.75" customHeight="1">
      <c r="A23" s="332"/>
      <c r="B23" s="532" t="s">
        <v>644</v>
      </c>
      <c r="C23" s="535">
        <v>2006</v>
      </c>
      <c r="D23" s="1715" t="s">
        <v>652</v>
      </c>
      <c r="E23" s="1709"/>
      <c r="F23" s="1710" t="s">
        <v>653</v>
      </c>
      <c r="G23" s="1709"/>
      <c r="H23" s="332"/>
      <c r="I23" s="536">
        <v>25033000</v>
      </c>
      <c r="J23" s="332"/>
      <c r="K23" s="537">
        <f t="shared" si="1"/>
        <v>9.1985604454636952E-3</v>
      </c>
      <c r="L23" s="332"/>
      <c r="M23" s="538">
        <f t="shared" si="2"/>
        <v>0.32288072199074302</v>
      </c>
      <c r="N23" s="337"/>
      <c r="O23" s="337"/>
      <c r="P23" s="337"/>
      <c r="Q23" s="337"/>
      <c r="R23" s="337"/>
      <c r="S23" s="337"/>
      <c r="T23" s="332"/>
      <c r="U23" s="337">
        <v>24070000</v>
      </c>
      <c r="V23" s="337"/>
      <c r="W23" s="337"/>
      <c r="X23" s="332"/>
      <c r="Y23" s="332"/>
      <c r="Z23" s="332"/>
      <c r="AA23" s="332"/>
      <c r="AB23" s="332"/>
      <c r="AC23" s="332"/>
      <c r="AD23" s="332"/>
      <c r="AE23" s="332"/>
      <c r="AF23" s="332"/>
      <c r="AG23" s="332"/>
    </row>
    <row r="24" spans="1:33" ht="15.75" customHeight="1">
      <c r="A24" s="332"/>
      <c r="B24" s="539" t="s">
        <v>654</v>
      </c>
      <c r="C24" s="540">
        <v>2006</v>
      </c>
      <c r="D24" s="1703" t="s">
        <v>655</v>
      </c>
      <c r="E24" s="1699"/>
      <c r="F24" s="1716" t="s">
        <v>217</v>
      </c>
      <c r="G24" s="1699"/>
      <c r="H24" s="332"/>
      <c r="I24" s="541">
        <v>2721404088</v>
      </c>
      <c r="J24" s="332"/>
      <c r="K24" s="542">
        <f t="shared" si="1"/>
        <v>1</v>
      </c>
      <c r="L24" s="332"/>
      <c r="M24" s="543"/>
      <c r="N24" s="337"/>
      <c r="O24" s="337"/>
      <c r="P24" s="337"/>
      <c r="Q24" s="337"/>
      <c r="R24" s="337"/>
      <c r="S24" s="337"/>
      <c r="T24" s="332"/>
      <c r="U24" s="337"/>
      <c r="V24" s="337"/>
      <c r="W24" s="337"/>
      <c r="X24" s="332"/>
      <c r="Y24" s="332"/>
      <c r="Z24" s="332"/>
      <c r="AA24" s="332"/>
      <c r="AB24" s="332"/>
      <c r="AC24" s="332"/>
      <c r="AD24" s="332"/>
      <c r="AE24" s="332"/>
      <c r="AF24" s="332"/>
      <c r="AG24" s="332"/>
    </row>
    <row r="25" spans="1:33" ht="15" customHeight="1">
      <c r="A25" s="332"/>
      <c r="B25" s="532" t="s">
        <v>654</v>
      </c>
      <c r="C25" s="533">
        <v>2006</v>
      </c>
      <c r="D25" s="1688" t="s">
        <v>656</v>
      </c>
      <c r="E25" s="1689"/>
      <c r="F25" s="1707" t="s">
        <v>217</v>
      </c>
      <c r="G25" s="1689"/>
      <c r="H25" s="332"/>
      <c r="I25" s="515">
        <f>I24-SUM(I19:I23)</f>
        <v>2643873909.5314393</v>
      </c>
      <c r="J25" s="332"/>
      <c r="K25" s="530">
        <f t="shared" si="1"/>
        <v>0.97151096420762018</v>
      </c>
      <c r="L25" s="332"/>
      <c r="M25" s="544"/>
      <c r="N25" s="337"/>
      <c r="O25" s="337"/>
      <c r="P25" s="337"/>
      <c r="Q25" s="337"/>
      <c r="R25" s="337"/>
      <c r="S25" s="337"/>
      <c r="T25" s="332"/>
      <c r="U25" s="337"/>
      <c r="V25" s="337"/>
      <c r="W25" s="337"/>
      <c r="X25" s="332"/>
      <c r="Y25" s="332"/>
      <c r="Z25" s="332"/>
      <c r="AA25" s="332"/>
      <c r="AB25" s="332"/>
      <c r="AC25" s="332"/>
      <c r="AD25" s="332"/>
      <c r="AE25" s="332"/>
      <c r="AF25" s="332"/>
      <c r="AG25" s="332"/>
    </row>
    <row r="26" spans="1:33" ht="15" customHeight="1">
      <c r="A26" s="332"/>
      <c r="B26" s="532" t="s">
        <v>654</v>
      </c>
      <c r="C26" s="533">
        <v>2006</v>
      </c>
      <c r="D26" s="1688" t="s">
        <v>657</v>
      </c>
      <c r="E26" s="1689"/>
      <c r="F26" s="1707" t="s">
        <v>217</v>
      </c>
      <c r="G26" s="1689"/>
      <c r="H26" s="332"/>
      <c r="I26" s="515">
        <f>I24-I25</f>
        <v>77530178.468560696</v>
      </c>
      <c r="J26" s="332"/>
      <c r="K26" s="530">
        <f t="shared" si="1"/>
        <v>2.8489035792379797E-2</v>
      </c>
      <c r="L26" s="332"/>
      <c r="M26" s="545">
        <f>SUM(M19:M23)</f>
        <v>1</v>
      </c>
      <c r="N26" s="337"/>
      <c r="O26" s="337"/>
      <c r="P26" s="337"/>
      <c r="Q26" s="337"/>
      <c r="R26" s="337"/>
      <c r="S26" s="337"/>
      <c r="T26" s="332"/>
      <c r="U26" s="337"/>
      <c r="V26" s="337"/>
      <c r="W26" s="337"/>
      <c r="X26" s="332"/>
      <c r="Y26" s="332"/>
      <c r="Z26" s="332"/>
      <c r="AA26" s="332"/>
      <c r="AB26" s="332"/>
      <c r="AC26" s="332"/>
      <c r="AD26" s="332"/>
      <c r="AE26" s="332"/>
      <c r="AF26" s="332"/>
      <c r="AG26" s="332"/>
    </row>
    <row r="27" spans="1:33" ht="12.75" customHeight="1">
      <c r="A27" s="332"/>
      <c r="B27" s="332"/>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row>
    <row r="28" spans="1:33" ht="12.75" customHeight="1">
      <c r="A28" s="332"/>
      <c r="B28" s="332"/>
      <c r="C28" s="332"/>
      <c r="D28" s="332"/>
      <c r="E28" s="332"/>
      <c r="F28" s="332"/>
      <c r="G28" s="332"/>
      <c r="H28" s="332"/>
      <c r="I28" s="337">
        <f>I21+I22</f>
        <v>29536178.468560584</v>
      </c>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row>
    <row r="29" spans="1:33" ht="18.75" customHeight="1">
      <c r="A29" s="332"/>
      <c r="B29" s="1717" t="s">
        <v>658</v>
      </c>
      <c r="C29" s="1672"/>
      <c r="D29" s="1672"/>
      <c r="E29" s="1672"/>
      <c r="F29" s="1670"/>
      <c r="G29" s="332"/>
      <c r="H29" s="332"/>
      <c r="I29" s="332"/>
      <c r="J29" s="332"/>
      <c r="K29" s="332"/>
      <c r="L29" s="526"/>
      <c r="M29" s="332"/>
      <c r="N29" s="332"/>
      <c r="O29" s="332"/>
      <c r="P29" s="332"/>
      <c r="Q29" s="332"/>
      <c r="R29" s="332"/>
      <c r="S29" s="332"/>
      <c r="T29" s="332"/>
      <c r="U29" s="332"/>
      <c r="V29" s="332"/>
      <c r="W29" s="332"/>
      <c r="X29" s="332"/>
      <c r="Y29" s="332"/>
      <c r="Z29" s="332"/>
      <c r="AA29" s="332"/>
      <c r="AB29" s="332"/>
      <c r="AC29" s="332"/>
      <c r="AD29" s="332"/>
      <c r="AE29" s="332"/>
      <c r="AF29" s="332"/>
      <c r="AG29" s="332"/>
    </row>
    <row r="30" spans="1:33" ht="13.5" customHeight="1">
      <c r="A30" s="332"/>
      <c r="B30" s="332"/>
      <c r="C30" s="332"/>
      <c r="D30" s="522"/>
      <c r="E30" s="522"/>
      <c r="F30" s="522"/>
      <c r="G30" s="522"/>
      <c r="H30" s="332"/>
      <c r="I30" s="332"/>
      <c r="J30" s="332"/>
      <c r="K30" s="332"/>
      <c r="L30" s="332"/>
      <c r="M30" s="526"/>
      <c r="N30" s="526"/>
      <c r="O30" s="526"/>
      <c r="P30" s="526"/>
      <c r="Q30" s="526"/>
      <c r="R30" s="526"/>
      <c r="S30" s="526"/>
      <c r="T30" s="332"/>
      <c r="U30" s="526"/>
      <c r="V30" s="526"/>
      <c r="W30" s="526"/>
      <c r="X30" s="332"/>
      <c r="Y30" s="332"/>
      <c r="Z30" s="332"/>
      <c r="AA30" s="332"/>
      <c r="AB30" s="332"/>
      <c r="AC30" s="332"/>
      <c r="AD30" s="332"/>
      <c r="AE30" s="332"/>
      <c r="AF30" s="332"/>
      <c r="AG30" s="332"/>
    </row>
    <row r="31" spans="1:33" ht="26.25" customHeight="1">
      <c r="A31" s="332"/>
      <c r="B31" s="520" t="s">
        <v>638</v>
      </c>
      <c r="C31" s="521" t="s">
        <v>77</v>
      </c>
      <c r="D31" s="1711" t="s">
        <v>639</v>
      </c>
      <c r="E31" s="1699"/>
      <c r="F31" s="1712" t="s">
        <v>640</v>
      </c>
      <c r="G31" s="1699"/>
      <c r="H31" s="332"/>
      <c r="I31" s="523" t="s">
        <v>641</v>
      </c>
      <c r="J31" s="332"/>
      <c r="K31" s="524" t="s">
        <v>642</v>
      </c>
      <c r="L31" s="332"/>
      <c r="M31" s="525" t="s">
        <v>659</v>
      </c>
      <c r="N31" s="332"/>
      <c r="O31" s="332"/>
      <c r="P31" s="332"/>
      <c r="Q31" s="332"/>
      <c r="R31" s="332"/>
      <c r="S31" s="1663" t="s">
        <v>1</v>
      </c>
      <c r="T31" s="1664"/>
      <c r="U31" s="332"/>
      <c r="V31" s="332"/>
      <c r="W31" s="332"/>
      <c r="X31" s="332"/>
      <c r="Y31" s="332"/>
      <c r="Z31" s="332"/>
      <c r="AA31" s="332"/>
      <c r="AB31" s="332"/>
      <c r="AC31" s="332"/>
      <c r="AD31" s="332"/>
      <c r="AE31" s="332"/>
      <c r="AF31" s="332"/>
      <c r="AG31" s="332"/>
    </row>
    <row r="32" spans="1:33" ht="12.75" customHeight="1">
      <c r="A32" s="332"/>
      <c r="B32" s="532" t="s">
        <v>660</v>
      </c>
      <c r="C32" s="533">
        <v>2006</v>
      </c>
      <c r="D32" s="1706" t="s">
        <v>645</v>
      </c>
      <c r="E32" s="1689"/>
      <c r="F32" s="1713" t="s">
        <v>661</v>
      </c>
      <c r="G32" s="1714"/>
      <c r="H32" s="332"/>
      <c r="I32" s="529">
        <v>16854000</v>
      </c>
      <c r="J32" s="332"/>
      <c r="K32" s="546">
        <f t="shared" ref="K32:K39" si="3">I32/$I$37</f>
        <v>2.7050671228749688E-2</v>
      </c>
      <c r="L32" s="332"/>
      <c r="M32" s="531">
        <f t="shared" ref="M32:M36" si="4">I32/SUM($I$32:$I$36)</f>
        <v>9.0471293336338424E-2</v>
      </c>
      <c r="N32" s="332"/>
      <c r="O32" s="332"/>
      <c r="P32" s="332"/>
      <c r="Q32" s="332"/>
      <c r="R32" s="332"/>
      <c r="S32" s="25"/>
      <c r="T32" s="25"/>
      <c r="U32" s="332"/>
      <c r="V32" s="332"/>
      <c r="W32" s="332"/>
      <c r="X32" s="332"/>
      <c r="Y32" s="332"/>
      <c r="Z32" s="332"/>
      <c r="AA32" s="332"/>
      <c r="AB32" s="332"/>
      <c r="AC32" s="332"/>
      <c r="AD32" s="332"/>
      <c r="AE32" s="332"/>
      <c r="AF32" s="332"/>
      <c r="AG32" s="332"/>
    </row>
    <row r="33" spans="1:33" ht="12.75" customHeight="1">
      <c r="A33" s="332"/>
      <c r="B33" s="532" t="s">
        <v>662</v>
      </c>
      <c r="C33" s="533">
        <v>2006</v>
      </c>
      <c r="D33" s="1706" t="s">
        <v>647</v>
      </c>
      <c r="E33" s="1689"/>
      <c r="F33" s="1707" t="s">
        <v>663</v>
      </c>
      <c r="G33" s="1689"/>
      <c r="H33" s="332"/>
      <c r="I33" s="547">
        <v>118516224.14723189</v>
      </c>
      <c r="J33" s="332"/>
      <c r="K33" s="530">
        <f t="shared" si="3"/>
        <v>0.1902185483967945</v>
      </c>
      <c r="L33" s="332"/>
      <c r="M33" s="534">
        <f t="shared" si="4"/>
        <v>0.63618820932357023</v>
      </c>
      <c r="N33" s="332"/>
      <c r="O33" s="332"/>
      <c r="P33" s="332"/>
      <c r="Q33" s="332"/>
      <c r="R33" s="332"/>
      <c r="S33" s="26" t="s">
        <v>60</v>
      </c>
      <c r="T33" s="27">
        <f>Summary!E4</f>
        <v>1</v>
      </c>
      <c r="U33" s="332"/>
      <c r="V33" s="332"/>
      <c r="W33" s="332"/>
      <c r="X33" s="332"/>
      <c r="Y33" s="332"/>
      <c r="Z33" s="332"/>
      <c r="AA33" s="332"/>
      <c r="AB33" s="332"/>
      <c r="AC33" s="332"/>
      <c r="AD33" s="332"/>
      <c r="AE33" s="332"/>
      <c r="AF33" s="332"/>
      <c r="AG33" s="332"/>
    </row>
    <row r="34" spans="1:33" ht="12.75" customHeight="1">
      <c r="A34" s="332"/>
      <c r="B34" s="532" t="s">
        <v>664</v>
      </c>
      <c r="C34" s="533">
        <v>2006</v>
      </c>
      <c r="D34" s="1706" t="s">
        <v>649</v>
      </c>
      <c r="E34" s="1689"/>
      <c r="F34" s="1707" t="s">
        <v>665</v>
      </c>
      <c r="G34" s="1689"/>
      <c r="H34" s="332"/>
      <c r="I34" s="515">
        <v>11441263.232021492</v>
      </c>
      <c r="J34" s="332"/>
      <c r="K34" s="530">
        <f t="shared" si="3"/>
        <v>1.8363228321525777E-2</v>
      </c>
      <c r="L34" s="332"/>
      <c r="M34" s="534">
        <f t="shared" si="4"/>
        <v>6.1416036668000468E-2</v>
      </c>
      <c r="N34" s="332"/>
      <c r="O34" s="332"/>
      <c r="P34" s="332"/>
      <c r="Q34" s="332"/>
      <c r="R34" s="332"/>
      <c r="S34" s="26" t="s">
        <v>62</v>
      </c>
      <c r="T34" s="27">
        <f>Summary!E5</f>
        <v>28</v>
      </c>
      <c r="U34" s="332"/>
      <c r="V34" s="332"/>
      <c r="W34" s="332"/>
      <c r="X34" s="332"/>
      <c r="Y34" s="332"/>
      <c r="Z34" s="332"/>
      <c r="AA34" s="332"/>
      <c r="AB34" s="332"/>
      <c r="AC34" s="332"/>
      <c r="AD34" s="332"/>
      <c r="AE34" s="332"/>
      <c r="AF34" s="332"/>
      <c r="AG34" s="332"/>
    </row>
    <row r="35" spans="1:33" ht="12.75" customHeight="1">
      <c r="A35" s="332"/>
      <c r="B35" s="532" t="s">
        <v>666</v>
      </c>
      <c r="C35" s="533">
        <v>2006</v>
      </c>
      <c r="D35" s="1706" t="s">
        <v>667</v>
      </c>
      <c r="E35" s="1689"/>
      <c r="F35" s="1707" t="s">
        <v>668</v>
      </c>
      <c r="G35" s="1689"/>
      <c r="H35" s="332"/>
      <c r="I35" s="548">
        <v>23342571.949999999</v>
      </c>
      <c r="J35" s="332"/>
      <c r="K35" s="530">
        <f t="shared" si="3"/>
        <v>3.7464829681552417E-2</v>
      </c>
      <c r="L35" s="332"/>
      <c r="M35" s="534">
        <f t="shared" si="4"/>
        <v>0.12530157079109025</v>
      </c>
      <c r="N35" s="332"/>
      <c r="O35" s="332"/>
      <c r="P35" s="332"/>
      <c r="Q35" s="332"/>
      <c r="R35" s="332"/>
      <c r="S35" s="26" t="s">
        <v>63</v>
      </c>
      <c r="T35" s="27">
        <f>Summary!E6</f>
        <v>265</v>
      </c>
      <c r="U35" s="332"/>
      <c r="V35" s="332"/>
      <c r="W35" s="332"/>
      <c r="X35" s="332"/>
      <c r="Y35" s="332"/>
      <c r="Z35" s="332"/>
      <c r="AA35" s="332"/>
      <c r="AB35" s="332"/>
      <c r="AC35" s="332"/>
      <c r="AD35" s="332"/>
      <c r="AE35" s="332"/>
      <c r="AF35" s="332"/>
      <c r="AG35" s="332"/>
    </row>
    <row r="36" spans="1:33" ht="15" customHeight="1">
      <c r="A36" s="332"/>
      <c r="B36" s="549" t="s">
        <v>664</v>
      </c>
      <c r="C36" s="550">
        <v>2006</v>
      </c>
      <c r="D36" s="1708" t="s">
        <v>669</v>
      </c>
      <c r="E36" s="1709"/>
      <c r="F36" s="1710" t="s">
        <v>670</v>
      </c>
      <c r="G36" s="1709"/>
      <c r="H36" s="332"/>
      <c r="I36" s="536">
        <v>16137076.548987413</v>
      </c>
      <c r="J36" s="332"/>
      <c r="K36" s="537">
        <f t="shared" si="3"/>
        <v>2.5900009037606805E-2</v>
      </c>
      <c r="L36" s="3"/>
      <c r="M36" s="538">
        <f t="shared" si="4"/>
        <v>8.6622889881000836E-2</v>
      </c>
      <c r="N36" s="332"/>
      <c r="O36" s="332"/>
      <c r="P36" s="332"/>
      <c r="Q36" s="332"/>
      <c r="R36" s="332"/>
      <c r="S36" s="26" t="s">
        <v>65</v>
      </c>
      <c r="T36" s="29">
        <f>Summary!E7</f>
        <v>23500</v>
      </c>
      <c r="U36" s="332"/>
      <c r="V36" s="332"/>
      <c r="W36" s="332"/>
      <c r="X36" s="332"/>
      <c r="Y36" s="332"/>
      <c r="Z36" s="332"/>
      <c r="AA36" s="332"/>
      <c r="AB36" s="332"/>
      <c r="AC36" s="332"/>
      <c r="AD36" s="332"/>
      <c r="AE36" s="332"/>
      <c r="AF36" s="332"/>
      <c r="AG36" s="332"/>
    </row>
    <row r="37" spans="1:33" ht="15.75" customHeight="1">
      <c r="A37" s="332"/>
      <c r="B37" s="539" t="s">
        <v>664</v>
      </c>
      <c r="C37" s="551">
        <v>2006</v>
      </c>
      <c r="D37" s="1703" t="s">
        <v>671</v>
      </c>
      <c r="E37" s="1699"/>
      <c r="F37" s="1704" t="s">
        <v>217</v>
      </c>
      <c r="G37" s="1699"/>
      <c r="H37" s="9"/>
      <c r="I37" s="552">
        <v>623052931.20000005</v>
      </c>
      <c r="J37" s="9"/>
      <c r="K37" s="542">
        <f t="shared" si="3"/>
        <v>1</v>
      </c>
      <c r="L37" s="3"/>
      <c r="M37" s="543"/>
      <c r="N37" s="3"/>
      <c r="O37" s="3"/>
      <c r="P37" s="3"/>
      <c r="Q37" s="3"/>
      <c r="R37" s="3"/>
      <c r="S37" s="26"/>
      <c r="T37" s="29"/>
      <c r="U37" s="3"/>
      <c r="V37" s="3"/>
      <c r="W37" s="3"/>
      <c r="X37" s="3"/>
      <c r="Y37" s="3"/>
      <c r="Z37" s="3"/>
      <c r="AA37" s="3"/>
      <c r="AB37" s="3"/>
      <c r="AC37" s="3"/>
      <c r="AD37" s="3"/>
      <c r="AE37" s="3"/>
      <c r="AF37" s="3"/>
      <c r="AG37" s="3"/>
    </row>
    <row r="38" spans="1:33" ht="15" customHeight="1">
      <c r="A38" s="332"/>
      <c r="B38" s="532" t="s">
        <v>672</v>
      </c>
      <c r="C38" s="533">
        <v>2006</v>
      </c>
      <c r="D38" s="1688" t="s">
        <v>673</v>
      </c>
      <c r="E38" s="1689"/>
      <c r="F38" s="1705" t="s">
        <v>217</v>
      </c>
      <c r="G38" s="1689"/>
      <c r="H38" s="3"/>
      <c r="I38" s="553">
        <f>I37-SUM(I32:I36)</f>
        <v>436761795.32175928</v>
      </c>
      <c r="J38" s="3"/>
      <c r="K38" s="530">
        <f t="shared" si="3"/>
        <v>0.70100271333377084</v>
      </c>
      <c r="L38" s="3"/>
      <c r="M38" s="544"/>
      <c r="N38" s="3"/>
      <c r="O38" s="3"/>
      <c r="P38" s="3"/>
      <c r="Q38" s="3"/>
      <c r="R38" s="3"/>
      <c r="S38" s="3"/>
      <c r="T38" s="3"/>
      <c r="U38" s="3"/>
      <c r="V38" s="3"/>
      <c r="W38" s="3"/>
      <c r="X38" s="3"/>
      <c r="Y38" s="3"/>
      <c r="Z38" s="3"/>
      <c r="AA38" s="3"/>
      <c r="AB38" s="3"/>
      <c r="AC38" s="3"/>
      <c r="AD38" s="3"/>
      <c r="AE38" s="3"/>
      <c r="AF38" s="3"/>
      <c r="AG38" s="3"/>
    </row>
    <row r="39" spans="1:33" ht="15" customHeight="1">
      <c r="A39" s="332"/>
      <c r="B39" s="532" t="s">
        <v>672</v>
      </c>
      <c r="C39" s="533">
        <v>2006</v>
      </c>
      <c r="D39" s="1688" t="s">
        <v>674</v>
      </c>
      <c r="E39" s="1689"/>
      <c r="F39" s="1705" t="s">
        <v>217</v>
      </c>
      <c r="G39" s="1689"/>
      <c r="H39" s="3"/>
      <c r="I39" s="553">
        <f>I37-I38</f>
        <v>186291135.87824076</v>
      </c>
      <c r="J39" s="3"/>
      <c r="K39" s="530">
        <f t="shared" si="3"/>
        <v>0.29899728666622916</v>
      </c>
      <c r="L39" s="3"/>
      <c r="M39" s="545">
        <f>SUM(M32:M36)</f>
        <v>1.0000000000000002</v>
      </c>
      <c r="N39" s="3"/>
      <c r="O39" s="3"/>
      <c r="P39" s="3"/>
      <c r="Q39" s="3"/>
      <c r="R39" s="3"/>
      <c r="S39" s="3"/>
      <c r="T39" s="3"/>
      <c r="U39" s="3"/>
      <c r="V39" s="3"/>
      <c r="W39" s="3"/>
      <c r="X39" s="3"/>
      <c r="Y39" s="3"/>
      <c r="Z39" s="3"/>
      <c r="AA39" s="3"/>
      <c r="AB39" s="3"/>
      <c r="AC39" s="3"/>
      <c r="AD39" s="3"/>
      <c r="AE39" s="3"/>
      <c r="AF39" s="3"/>
      <c r="AG39" s="3"/>
    </row>
    <row r="40" spans="1:33" ht="15" customHeight="1">
      <c r="A40" s="3"/>
      <c r="B40" s="3"/>
      <c r="C40" s="3"/>
      <c r="D40" s="3"/>
      <c r="E40" s="3"/>
      <c r="F40" s="3"/>
      <c r="G40" s="3"/>
      <c r="H40" s="3"/>
      <c r="I40" s="554"/>
      <c r="J40" s="3"/>
      <c r="K40" s="555"/>
      <c r="L40" s="3"/>
      <c r="M40" s="3"/>
      <c r="N40" s="3"/>
      <c r="O40" s="3"/>
      <c r="P40" s="3"/>
      <c r="Q40" s="3"/>
      <c r="R40" s="3"/>
      <c r="S40" s="3"/>
      <c r="T40" s="3"/>
      <c r="U40" s="3"/>
      <c r="V40" s="3"/>
      <c r="W40" s="3"/>
      <c r="X40" s="3"/>
      <c r="Y40" s="3"/>
      <c r="Z40" s="3"/>
      <c r="AA40" s="3"/>
      <c r="AB40" s="3"/>
      <c r="AC40" s="3"/>
      <c r="AD40" s="3"/>
      <c r="AE40" s="3"/>
      <c r="AF40" s="3"/>
      <c r="AG40" s="3"/>
    </row>
    <row r="41" spans="1:33"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ht="15.75" customHeight="1">
      <c r="A42" s="3"/>
      <c r="B42" s="3"/>
      <c r="C42" s="556">
        <v>2006</v>
      </c>
      <c r="D42" s="1690" t="s">
        <v>675</v>
      </c>
      <c r="E42" s="1689"/>
      <c r="F42" s="1691" t="s">
        <v>152</v>
      </c>
      <c r="G42" s="1672"/>
      <c r="H42" s="1692"/>
      <c r="I42" s="557">
        <f>SUM(I32:I35)</f>
        <v>170154059.32925335</v>
      </c>
      <c r="J42" s="3"/>
      <c r="K42" s="3"/>
      <c r="L42" s="3"/>
      <c r="M42" s="3"/>
      <c r="N42" s="3"/>
      <c r="O42" s="3"/>
      <c r="P42" s="3"/>
      <c r="Q42" s="3"/>
      <c r="R42" s="3"/>
      <c r="S42" s="3"/>
      <c r="T42" s="3"/>
      <c r="U42" s="3"/>
      <c r="V42" s="3"/>
      <c r="W42" s="3"/>
      <c r="X42" s="3"/>
      <c r="Y42" s="3"/>
      <c r="Z42" s="3"/>
      <c r="AA42" s="3"/>
      <c r="AB42" s="3"/>
      <c r="AC42" s="3"/>
      <c r="AD42" s="3"/>
      <c r="AE42" s="3"/>
      <c r="AF42" s="3"/>
      <c r="AG42" s="3"/>
    </row>
    <row r="43" spans="1:33" ht="15" customHeight="1">
      <c r="A43" s="3"/>
      <c r="B43" s="3"/>
      <c r="C43" s="556">
        <v>2006</v>
      </c>
      <c r="D43" s="1693" t="s">
        <v>667</v>
      </c>
      <c r="E43" s="1689"/>
      <c r="F43" s="1694" t="s">
        <v>636</v>
      </c>
      <c r="G43" s="1660"/>
      <c r="H43" s="1689"/>
      <c r="I43" s="558">
        <v>0</v>
      </c>
      <c r="J43" s="559"/>
      <c r="K43" s="3"/>
      <c r="L43" s="3"/>
      <c r="M43" s="3"/>
      <c r="N43" s="3"/>
      <c r="O43" s="3"/>
      <c r="P43" s="3"/>
      <c r="Q43" s="3"/>
      <c r="R43" s="3"/>
      <c r="S43" s="3"/>
      <c r="T43" s="3"/>
      <c r="U43" s="3"/>
      <c r="V43" s="3"/>
      <c r="W43" s="3"/>
      <c r="X43" s="3"/>
      <c r="Y43" s="3"/>
      <c r="Z43" s="3"/>
      <c r="AA43" s="3"/>
      <c r="AB43" s="3"/>
      <c r="AC43" s="3"/>
      <c r="AD43" s="3"/>
      <c r="AE43" s="3"/>
      <c r="AF43" s="3"/>
      <c r="AG43" s="3"/>
    </row>
    <row r="44" spans="1:33" ht="15" customHeight="1">
      <c r="A44" s="3"/>
      <c r="B44" s="544" t="s">
        <v>664</v>
      </c>
      <c r="C44" s="556">
        <v>2006</v>
      </c>
      <c r="D44" s="1693" t="s">
        <v>669</v>
      </c>
      <c r="E44" s="1689"/>
      <c r="F44" s="560" t="s">
        <v>676</v>
      </c>
      <c r="G44" s="3"/>
      <c r="H44" s="3"/>
      <c r="I44" s="561">
        <v>51301974.751073644</v>
      </c>
      <c r="J44" s="554"/>
      <c r="K44" s="3"/>
      <c r="L44" s="3"/>
      <c r="M44" s="3"/>
      <c r="N44" s="3"/>
      <c r="O44" s="3"/>
      <c r="P44" s="3"/>
      <c r="Q44" s="3"/>
      <c r="R44" s="3"/>
      <c r="S44" s="3"/>
      <c r="T44" s="3"/>
      <c r="U44" s="3"/>
      <c r="V44" s="3"/>
      <c r="W44" s="3"/>
      <c r="X44" s="3"/>
      <c r="Y44" s="3"/>
      <c r="Z44" s="3"/>
      <c r="AA44" s="3"/>
      <c r="AB44" s="3"/>
      <c r="AC44" s="3"/>
      <c r="AD44" s="3"/>
      <c r="AE44" s="3"/>
      <c r="AF44" s="3"/>
      <c r="AG44" s="3"/>
    </row>
    <row r="45" spans="1:33" ht="15.75" customHeight="1">
      <c r="A45" s="9"/>
      <c r="B45" s="9"/>
      <c r="C45" s="9"/>
      <c r="D45" s="1698" t="s">
        <v>677</v>
      </c>
      <c r="E45" s="1699"/>
      <c r="F45" s="1695" t="s">
        <v>152</v>
      </c>
      <c r="G45" s="1696"/>
      <c r="H45" s="1697"/>
      <c r="I45" s="562">
        <f>SUM(I43:I44)</f>
        <v>51301974.751073644</v>
      </c>
      <c r="J45" s="563"/>
      <c r="K45" s="9"/>
      <c r="L45" s="9"/>
      <c r="M45" s="9"/>
      <c r="N45" s="3"/>
      <c r="O45" s="3"/>
      <c r="P45" s="3"/>
      <c r="Q45" s="3"/>
      <c r="R45" s="3"/>
      <c r="S45" s="3"/>
      <c r="T45" s="3"/>
      <c r="U45" s="3"/>
      <c r="V45" s="3"/>
      <c r="W45" s="3"/>
      <c r="X45" s="3"/>
      <c r="Y45" s="3"/>
      <c r="Z45" s="3"/>
      <c r="AA45" s="3"/>
      <c r="AB45" s="3"/>
      <c r="AC45" s="3"/>
      <c r="AD45" s="3"/>
      <c r="AE45" s="3"/>
      <c r="AF45" s="3"/>
      <c r="AG45" s="3"/>
    </row>
    <row r="46" spans="1:33" ht="15" customHeight="1">
      <c r="A46" s="3"/>
      <c r="B46" s="3" t="s">
        <v>678</v>
      </c>
      <c r="C46" s="3"/>
      <c r="D46" s="3"/>
      <c r="F46" s="3"/>
      <c r="G46" s="3"/>
      <c r="H46" s="3"/>
      <c r="I46" s="3"/>
      <c r="J46" s="554"/>
      <c r="K46" s="3"/>
      <c r="L46" s="3"/>
      <c r="M46" s="3"/>
      <c r="N46" s="3"/>
      <c r="O46" s="3"/>
      <c r="P46" s="3"/>
      <c r="Q46" s="3"/>
      <c r="R46" s="3"/>
      <c r="S46" s="3"/>
      <c r="T46" s="3"/>
      <c r="U46" s="3"/>
      <c r="V46" s="3"/>
      <c r="W46" s="3"/>
      <c r="X46" s="3"/>
      <c r="Y46" s="3"/>
      <c r="Z46" s="3"/>
      <c r="AA46" s="3"/>
      <c r="AB46" s="3"/>
      <c r="AC46" s="3"/>
      <c r="AD46" s="3"/>
      <c r="AE46" s="3"/>
      <c r="AF46" s="3"/>
      <c r="AG46" s="3"/>
    </row>
    <row r="47" spans="1:33" ht="15" customHeight="1">
      <c r="A47" s="3"/>
      <c r="B47" s="564" t="s">
        <v>653</v>
      </c>
      <c r="C47" s="565">
        <v>124238</v>
      </c>
      <c r="D47" s="3" t="s">
        <v>679</v>
      </c>
      <c r="E47" s="3"/>
      <c r="F47" s="3"/>
      <c r="G47" s="3"/>
      <c r="H47" s="3"/>
      <c r="I47" s="3"/>
      <c r="J47" s="554"/>
      <c r="K47" s="3"/>
      <c r="L47" s="3"/>
      <c r="M47" s="3"/>
      <c r="N47" s="3"/>
      <c r="O47" s="3"/>
      <c r="P47" s="3"/>
      <c r="Q47" s="3"/>
      <c r="R47" s="3"/>
      <c r="S47" s="3"/>
      <c r="T47" s="3"/>
      <c r="U47" s="3"/>
      <c r="V47" s="3"/>
      <c r="W47" s="3"/>
      <c r="X47" s="3"/>
      <c r="Y47" s="3"/>
      <c r="Z47" s="3"/>
      <c r="AA47" s="3"/>
      <c r="AB47" s="3"/>
      <c r="AC47" s="3"/>
      <c r="AD47" s="3"/>
      <c r="AE47" s="3"/>
      <c r="AF47" s="3"/>
      <c r="AG47" s="3"/>
    </row>
    <row r="48" spans="1:33" ht="15" customHeight="1">
      <c r="A48" s="3"/>
      <c r="B48" s="564" t="s">
        <v>680</v>
      </c>
      <c r="C48" s="565">
        <v>138690</v>
      </c>
      <c r="D48" s="3" t="s">
        <v>679</v>
      </c>
      <c r="E48" s="3"/>
      <c r="F48" s="3"/>
      <c r="G48" s="3"/>
      <c r="H48" s="3"/>
      <c r="I48" s="3"/>
      <c r="J48" s="554"/>
      <c r="K48" s="3"/>
      <c r="L48" s="3"/>
      <c r="M48" s="3"/>
      <c r="N48" s="3"/>
      <c r="O48" s="3"/>
      <c r="P48" s="3"/>
      <c r="Q48" s="3"/>
      <c r="R48" s="3"/>
      <c r="S48" s="3"/>
      <c r="T48" s="3"/>
      <c r="U48" s="3"/>
      <c r="V48" s="3"/>
      <c r="W48" s="3"/>
      <c r="X48" s="3"/>
      <c r="Y48" s="3"/>
      <c r="Z48" s="3"/>
      <c r="AA48" s="3"/>
      <c r="AB48" s="3"/>
      <c r="AC48" s="3"/>
      <c r="AD48" s="3"/>
      <c r="AE48" s="3"/>
      <c r="AF48" s="3"/>
      <c r="AG48" s="3"/>
    </row>
    <row r="49" spans="1:33" ht="15.75" customHeight="1">
      <c r="A49" s="9"/>
      <c r="B49" s="9"/>
      <c r="C49" s="9"/>
      <c r="D49" s="1700"/>
      <c r="E49" s="1701"/>
      <c r="F49" s="9"/>
      <c r="G49" s="9"/>
      <c r="H49" s="9"/>
      <c r="I49" s="9"/>
      <c r="J49" s="9"/>
      <c r="K49" s="9"/>
      <c r="L49" s="9"/>
      <c r="M49" s="9"/>
      <c r="N49" s="3"/>
      <c r="O49" s="3"/>
      <c r="P49" s="3"/>
      <c r="Q49" s="3"/>
      <c r="R49" s="3"/>
      <c r="S49" s="3"/>
      <c r="T49" s="3"/>
      <c r="U49" s="3"/>
      <c r="V49" s="3"/>
      <c r="W49" s="3"/>
      <c r="X49" s="3"/>
      <c r="Y49" s="3"/>
      <c r="Z49" s="3"/>
      <c r="AA49" s="3"/>
      <c r="AB49" s="3"/>
      <c r="AC49" s="3"/>
      <c r="AD49" s="3"/>
      <c r="AE49" s="3"/>
      <c r="AF49" s="3"/>
      <c r="AG49" s="3"/>
    </row>
    <row r="50" spans="1:33" ht="21" customHeight="1">
      <c r="A50" s="3"/>
      <c r="B50" s="17" t="s">
        <v>681</v>
      </c>
      <c r="C50" s="3"/>
      <c r="D50" s="3"/>
      <c r="E50" s="3"/>
      <c r="F50" s="3"/>
      <c r="G50" s="3"/>
      <c r="H50" s="3"/>
      <c r="I50" s="3"/>
      <c r="M50" s="3"/>
      <c r="N50" s="3"/>
      <c r="O50" s="3"/>
      <c r="P50" s="3"/>
      <c r="Q50" s="3"/>
      <c r="R50" s="3"/>
      <c r="S50" s="3"/>
      <c r="T50" s="3"/>
      <c r="U50" s="3"/>
      <c r="V50" s="3"/>
      <c r="W50" s="3"/>
      <c r="X50" s="3"/>
      <c r="Y50" s="3"/>
      <c r="Z50" s="3"/>
      <c r="AA50" s="3"/>
      <c r="AB50" s="3"/>
      <c r="AC50" s="3"/>
      <c r="AD50" s="3"/>
      <c r="AE50" s="3"/>
      <c r="AF50" s="3"/>
      <c r="AG50" s="3"/>
    </row>
    <row r="51" spans="1:33" ht="21.75" customHeight="1">
      <c r="B51" s="566" t="s">
        <v>682</v>
      </c>
      <c r="C51" s="567"/>
      <c r="D51" s="568"/>
      <c r="E51" s="568"/>
      <c r="F51" s="567"/>
      <c r="G51" s="567"/>
      <c r="H51" s="567"/>
      <c r="I51" s="567"/>
      <c r="J51" s="567"/>
      <c r="K51" s="567"/>
      <c r="L51" s="567"/>
      <c r="M51" s="567"/>
      <c r="N51" s="567"/>
      <c r="O51" s="567"/>
      <c r="P51" s="3"/>
      <c r="Q51" s="3"/>
      <c r="R51" s="3"/>
      <c r="S51" s="3"/>
    </row>
    <row r="52" spans="1:33" ht="13.5" customHeight="1">
      <c r="B52" s="279"/>
      <c r="E52" s="1"/>
      <c r="F52" s="279"/>
      <c r="G52" s="279"/>
      <c r="H52" s="1"/>
      <c r="I52" s="1"/>
      <c r="J52" s="1"/>
      <c r="K52" s="569"/>
      <c r="L52" s="570"/>
      <c r="M52" s="571" t="s">
        <v>683</v>
      </c>
      <c r="N52" s="570"/>
      <c r="O52" s="572"/>
      <c r="P52" s="1"/>
      <c r="Q52" s="569"/>
      <c r="R52" s="570"/>
      <c r="S52" s="570"/>
      <c r="T52" s="571" t="s">
        <v>684</v>
      </c>
      <c r="U52" s="573"/>
      <c r="V52" s="573"/>
      <c r="W52" s="573"/>
      <c r="X52" s="574"/>
      <c r="Z52" s="575"/>
      <c r="AA52" s="576" t="s">
        <v>685</v>
      </c>
      <c r="AB52" s="571"/>
      <c r="AC52" s="571"/>
      <c r="AD52" s="571"/>
      <c r="AE52" s="574"/>
      <c r="AG52" s="577" t="s">
        <v>686</v>
      </c>
    </row>
    <row r="53" spans="1:33" ht="12.75" customHeight="1">
      <c r="A53" s="332"/>
      <c r="B53" s="350"/>
      <c r="C53" s="356" t="s">
        <v>68</v>
      </c>
      <c r="D53" s="332"/>
      <c r="E53" s="356" t="s">
        <v>68</v>
      </c>
      <c r="F53" s="356"/>
      <c r="G53" s="356" t="s">
        <v>451</v>
      </c>
      <c r="H53" s="350"/>
      <c r="I53" s="356" t="s">
        <v>558</v>
      </c>
      <c r="J53" s="350"/>
      <c r="K53" s="578" t="s">
        <v>95</v>
      </c>
      <c r="L53" s="350"/>
      <c r="M53" s="387" t="s">
        <v>95</v>
      </c>
      <c r="N53" s="350"/>
      <c r="O53" s="579" t="s">
        <v>95</v>
      </c>
      <c r="P53" s="350"/>
      <c r="Q53" s="580"/>
      <c r="R53" s="350"/>
      <c r="S53" s="350"/>
      <c r="T53" s="332"/>
      <c r="U53" s="332"/>
      <c r="V53" s="332"/>
      <c r="W53" s="332"/>
      <c r="X53" s="581"/>
      <c r="Y53" s="332"/>
      <c r="Z53" s="582"/>
      <c r="AA53" s="332"/>
      <c r="AB53" s="332"/>
      <c r="AC53" s="332"/>
      <c r="AD53" s="332"/>
      <c r="AE53" s="581"/>
      <c r="AF53" s="332"/>
      <c r="AG53" s="583" t="s">
        <v>6</v>
      </c>
    </row>
    <row r="54" spans="1:33" ht="35.25" customHeight="1">
      <c r="A54" s="332"/>
      <c r="B54" s="584" t="s">
        <v>238</v>
      </c>
      <c r="C54" s="356" t="s">
        <v>687</v>
      </c>
      <c r="D54" s="332"/>
      <c r="E54" s="356" t="s">
        <v>453</v>
      </c>
      <c r="F54" s="350"/>
      <c r="G54" s="356" t="s">
        <v>559</v>
      </c>
      <c r="H54" s="350"/>
      <c r="I54" s="356" t="s">
        <v>560</v>
      </c>
      <c r="J54" s="350"/>
      <c r="K54" s="585" t="s">
        <v>561</v>
      </c>
      <c r="L54" s="356"/>
      <c r="M54" s="356" t="s">
        <v>688</v>
      </c>
      <c r="N54" s="350"/>
      <c r="O54" s="579" t="s">
        <v>689</v>
      </c>
      <c r="P54" s="350"/>
      <c r="Q54" s="586" t="s">
        <v>690</v>
      </c>
      <c r="R54" s="587" t="s">
        <v>691</v>
      </c>
      <c r="S54" s="587" t="s">
        <v>692</v>
      </c>
      <c r="T54" s="588" t="s">
        <v>693</v>
      </c>
      <c r="U54" s="332"/>
      <c r="V54" s="588" t="s">
        <v>694</v>
      </c>
      <c r="W54" s="332"/>
      <c r="X54" s="589" t="s">
        <v>695</v>
      </c>
      <c r="Y54" s="587"/>
      <c r="Z54" s="586" t="s">
        <v>696</v>
      </c>
      <c r="AA54" s="588" t="s">
        <v>697</v>
      </c>
      <c r="AB54" s="332"/>
      <c r="AC54" s="588" t="s">
        <v>698</v>
      </c>
      <c r="AD54" s="332"/>
      <c r="AE54" s="589" t="s">
        <v>699</v>
      </c>
      <c r="AF54" s="332"/>
      <c r="AG54" s="590" t="s">
        <v>700</v>
      </c>
    </row>
    <row r="55" spans="1:33" ht="12.75" customHeight="1">
      <c r="A55" s="332"/>
      <c r="B55" s="350" t="s">
        <v>701</v>
      </c>
      <c r="C55" s="337">
        <f>E5</f>
        <v>4526231.38217822</v>
      </c>
      <c r="D55" s="332"/>
      <c r="E55" s="591">
        <f>G5</f>
        <v>544.00990517227706</v>
      </c>
      <c r="F55" s="384" t="s">
        <v>57</v>
      </c>
      <c r="G55" s="360">
        <v>41.563876651982376</v>
      </c>
      <c r="H55" s="384" t="s">
        <v>57</v>
      </c>
      <c r="I55" s="361">
        <v>1</v>
      </c>
      <c r="J55" s="384" t="s">
        <v>58</v>
      </c>
      <c r="K55" s="592">
        <f t="shared" ref="K55:K71" si="5">E55*1000*G55*I55/2000</f>
        <v>11305.580298018574</v>
      </c>
      <c r="L55" s="384" t="s">
        <v>58</v>
      </c>
      <c r="M55" s="364">
        <f t="shared" ref="M55:M71" si="6">K55*0.90718/1000000</f>
        <v>1.025619633475649E-2</v>
      </c>
      <c r="N55" s="384" t="s">
        <v>58</v>
      </c>
      <c r="O55" s="593">
        <f t="shared" ref="O55:O71" si="7">M55*44/12</f>
        <v>3.7606053227440463E-2</v>
      </c>
      <c r="P55" s="350"/>
      <c r="Q55" s="594">
        <v>22.257999999999999</v>
      </c>
      <c r="R55" s="332"/>
      <c r="S55" s="595">
        <v>0.04</v>
      </c>
      <c r="T55" s="596">
        <f>E55*1000*Q55*S55/1000000000</f>
        <v>4.8434289877298162E-4</v>
      </c>
      <c r="U55" s="384" t="s">
        <v>58</v>
      </c>
      <c r="V55" s="597">
        <f t="shared" ref="V55:V61" si="8">T55*$T$35*12/44*1000</f>
        <v>35.004782229501856</v>
      </c>
      <c r="W55" s="384" t="s">
        <v>58</v>
      </c>
      <c r="X55" s="598">
        <f t="shared" ref="X55:X61" si="9">V55*44/12</f>
        <v>128.35086817484014</v>
      </c>
      <c r="Y55" s="599"/>
      <c r="Z55" s="600">
        <v>2.64</v>
      </c>
      <c r="AA55" s="596">
        <f>E55*1000*Q55*Z55/1000000000</f>
        <v>3.1966631319016788E-2</v>
      </c>
      <c r="AB55" s="384" t="s">
        <v>58</v>
      </c>
      <c r="AC55" s="599">
        <f t="shared" ref="AC55:AC61" si="10">AA55*$T$34*12/44*1000</f>
        <v>244.10882098158277</v>
      </c>
      <c r="AD55" s="384" t="s">
        <v>58</v>
      </c>
      <c r="AE55" s="601">
        <f t="shared" ref="AE55:AE61" si="11">AC55*44/12</f>
        <v>895.06567693247018</v>
      </c>
      <c r="AF55" s="332" t="s">
        <v>57</v>
      </c>
      <c r="AG55" s="602">
        <f t="shared" ref="AG55:AG61" si="12">X55+AE55</f>
        <v>1023.4165451073103</v>
      </c>
    </row>
    <row r="56" spans="1:33" ht="12.75" customHeight="1">
      <c r="A56" s="332"/>
      <c r="B56" s="350" t="s">
        <v>702</v>
      </c>
      <c r="C56" s="603">
        <f t="shared" ref="C56:C60" si="13">I32</f>
        <v>16854000</v>
      </c>
      <c r="D56" s="332"/>
      <c r="E56" s="591">
        <f t="shared" ref="E56:E60" si="14">C56*$C$48/1000000000</f>
        <v>2337.48126</v>
      </c>
      <c r="F56" s="384" t="s">
        <v>57</v>
      </c>
      <c r="G56" s="360">
        <v>43.942731277533035</v>
      </c>
      <c r="H56" s="384" t="s">
        <v>57</v>
      </c>
      <c r="I56" s="361">
        <v>1</v>
      </c>
      <c r="J56" s="384" t="s">
        <v>58</v>
      </c>
      <c r="K56" s="592">
        <f t="shared" si="5"/>
        <v>51357.655437224668</v>
      </c>
      <c r="L56" s="384" t="s">
        <v>58</v>
      </c>
      <c r="M56" s="364">
        <f t="shared" si="6"/>
        <v>4.659063785954147E-2</v>
      </c>
      <c r="N56" s="384" t="s">
        <v>58</v>
      </c>
      <c r="O56" s="593">
        <f t="shared" si="7"/>
        <v>0.17083233881831872</v>
      </c>
      <c r="P56" s="350"/>
      <c r="Q56" s="582"/>
      <c r="R56" s="604">
        <v>3.1920000000000002</v>
      </c>
      <c r="S56" s="605">
        <v>0.08</v>
      </c>
      <c r="T56" s="596">
        <f t="shared" ref="T56:T60" si="15">C56*R56*S56/1000000000</f>
        <v>4.3038374400000004E-3</v>
      </c>
      <c r="U56" s="384" t="s">
        <v>58</v>
      </c>
      <c r="V56" s="597">
        <f t="shared" si="8"/>
        <v>311.05006952727274</v>
      </c>
      <c r="W56" s="384" t="s">
        <v>58</v>
      </c>
      <c r="X56" s="598">
        <f t="shared" si="9"/>
        <v>1140.5169216000002</v>
      </c>
      <c r="Y56" s="332"/>
      <c r="Z56" s="600">
        <v>0.45</v>
      </c>
      <c r="AA56" s="596">
        <f t="shared" ref="AA56:AA60" si="16">C56*R56*Z56/1000000000</f>
        <v>2.4209085600000003E-2</v>
      </c>
      <c r="AB56" s="384" t="s">
        <v>58</v>
      </c>
      <c r="AC56" s="599">
        <f t="shared" si="10"/>
        <v>184.86938094545457</v>
      </c>
      <c r="AD56" s="384" t="s">
        <v>58</v>
      </c>
      <c r="AE56" s="601">
        <f t="shared" si="11"/>
        <v>677.85439680000002</v>
      </c>
      <c r="AF56" s="332"/>
      <c r="AG56" s="602">
        <f t="shared" si="12"/>
        <v>1818.3713184000003</v>
      </c>
    </row>
    <row r="57" spans="1:33" ht="12.75" customHeight="1">
      <c r="A57" s="332"/>
      <c r="B57" s="350" t="s">
        <v>703</v>
      </c>
      <c r="C57" s="603">
        <f t="shared" si="13"/>
        <v>118516224.14723189</v>
      </c>
      <c r="D57" s="332"/>
      <c r="E57" s="591">
        <f t="shared" si="14"/>
        <v>16437.015126979593</v>
      </c>
      <c r="F57" s="384" t="s">
        <v>57</v>
      </c>
      <c r="G57" s="360">
        <v>43.942731277533035</v>
      </c>
      <c r="H57" s="384" t="s">
        <v>57</v>
      </c>
      <c r="I57" s="361">
        <v>1</v>
      </c>
      <c r="J57" s="384" t="s">
        <v>58</v>
      </c>
      <c r="K57" s="592">
        <f t="shared" si="5"/>
        <v>361143.66936480493</v>
      </c>
      <c r="L57" s="384" t="s">
        <v>58</v>
      </c>
      <c r="M57" s="364">
        <f t="shared" si="6"/>
        <v>0.32762231397436375</v>
      </c>
      <c r="N57" s="384" t="s">
        <v>58</v>
      </c>
      <c r="O57" s="593">
        <f t="shared" si="7"/>
        <v>1.2012818179060003</v>
      </c>
      <c r="P57" s="350"/>
      <c r="Q57" s="582"/>
      <c r="R57" s="604">
        <v>3.1920000000000002</v>
      </c>
      <c r="S57" s="605">
        <v>0.08</v>
      </c>
      <c r="T57" s="596">
        <f t="shared" si="15"/>
        <v>3.0264302998237135E-2</v>
      </c>
      <c r="U57" s="384" t="s">
        <v>58</v>
      </c>
      <c r="V57" s="597">
        <f t="shared" si="8"/>
        <v>2187.2837166907748</v>
      </c>
      <c r="W57" s="384" t="s">
        <v>58</v>
      </c>
      <c r="X57" s="598">
        <f t="shared" si="9"/>
        <v>8020.0402945328415</v>
      </c>
      <c r="Y57" s="332"/>
      <c r="Z57" s="600">
        <v>0.45</v>
      </c>
      <c r="AA57" s="596">
        <f t="shared" si="16"/>
        <v>0.1702367043650839</v>
      </c>
      <c r="AB57" s="384" t="s">
        <v>58</v>
      </c>
      <c r="AC57" s="599">
        <f t="shared" si="10"/>
        <v>1299.9893787879132</v>
      </c>
      <c r="AD57" s="384" t="s">
        <v>58</v>
      </c>
      <c r="AE57" s="601">
        <f t="shared" si="11"/>
        <v>4766.627722222348</v>
      </c>
      <c r="AF57" s="332"/>
      <c r="AG57" s="602">
        <f t="shared" si="12"/>
        <v>12786.668016755189</v>
      </c>
    </row>
    <row r="58" spans="1:33" ht="12.75" customHeight="1">
      <c r="A58" s="332"/>
      <c r="B58" s="350" t="s">
        <v>704</v>
      </c>
      <c r="C58" s="603">
        <f t="shared" si="13"/>
        <v>11441263.232021492</v>
      </c>
      <c r="D58" s="332"/>
      <c r="E58" s="591">
        <f t="shared" si="14"/>
        <v>1586.7887976490608</v>
      </c>
      <c r="F58" s="384" t="s">
        <v>57</v>
      </c>
      <c r="G58" s="360">
        <v>43.942731277533035</v>
      </c>
      <c r="H58" s="384" t="s">
        <v>57</v>
      </c>
      <c r="I58" s="361">
        <v>1</v>
      </c>
      <c r="J58" s="384" t="s">
        <v>58</v>
      </c>
      <c r="K58" s="592">
        <f t="shared" si="5"/>
        <v>34863.916864646213</v>
      </c>
      <c r="L58" s="384" t="s">
        <v>58</v>
      </c>
      <c r="M58" s="364">
        <f t="shared" si="6"/>
        <v>3.162784810126975E-2</v>
      </c>
      <c r="N58" s="384" t="s">
        <v>58</v>
      </c>
      <c r="O58" s="593">
        <f t="shared" si="7"/>
        <v>0.11596877637132241</v>
      </c>
      <c r="P58" s="350"/>
      <c r="Q58" s="582"/>
      <c r="R58" s="604">
        <v>3.1920000000000002</v>
      </c>
      <c r="S58" s="605">
        <v>0.08</v>
      </c>
      <c r="T58" s="596">
        <f t="shared" si="15"/>
        <v>2.9216409789290083E-3</v>
      </c>
      <c r="U58" s="384" t="s">
        <v>58</v>
      </c>
      <c r="V58" s="597">
        <f t="shared" si="8"/>
        <v>211.15496165896016</v>
      </c>
      <c r="W58" s="384" t="s">
        <v>58</v>
      </c>
      <c r="X58" s="598">
        <f t="shared" si="9"/>
        <v>774.23485941618719</v>
      </c>
      <c r="Y58" s="332"/>
      <c r="Z58" s="600">
        <v>0.18</v>
      </c>
      <c r="AA58" s="596">
        <f t="shared" si="16"/>
        <v>6.5736922025902682E-3</v>
      </c>
      <c r="AB58" s="384" t="s">
        <v>58</v>
      </c>
      <c r="AC58" s="599">
        <f t="shared" si="10"/>
        <v>50.199104092507504</v>
      </c>
      <c r="AD58" s="384" t="s">
        <v>58</v>
      </c>
      <c r="AE58" s="601">
        <f t="shared" si="11"/>
        <v>184.0633816725275</v>
      </c>
      <c r="AF58" s="332"/>
      <c r="AG58" s="602">
        <f t="shared" si="12"/>
        <v>958.29824108871469</v>
      </c>
    </row>
    <row r="59" spans="1:33" ht="12.75" customHeight="1">
      <c r="A59" s="332"/>
      <c r="B59" s="350" t="s">
        <v>705</v>
      </c>
      <c r="C59" s="603">
        <f t="shared" si="13"/>
        <v>23342571.949999999</v>
      </c>
      <c r="D59" s="332"/>
      <c r="E59" s="591">
        <f t="shared" si="14"/>
        <v>3237.3813037455002</v>
      </c>
      <c r="F59" s="384" t="s">
        <v>57</v>
      </c>
      <c r="G59" s="360">
        <v>43.942731277533035</v>
      </c>
      <c r="H59" s="384" t="s">
        <v>57</v>
      </c>
      <c r="I59" s="361">
        <v>1</v>
      </c>
      <c r="J59" s="384" t="s">
        <v>58</v>
      </c>
      <c r="K59" s="592">
        <f t="shared" si="5"/>
        <v>71129.688336699037</v>
      </c>
      <c r="L59" s="384" t="s">
        <v>58</v>
      </c>
      <c r="M59" s="364">
        <f t="shared" si="6"/>
        <v>6.4527430665286628E-2</v>
      </c>
      <c r="N59" s="384" t="s">
        <v>58</v>
      </c>
      <c r="O59" s="593">
        <f t="shared" si="7"/>
        <v>0.23660057910605095</v>
      </c>
      <c r="P59" s="350"/>
      <c r="Q59" s="582"/>
      <c r="R59" s="604">
        <v>3.1920000000000002</v>
      </c>
      <c r="S59" s="605">
        <v>0.08</v>
      </c>
      <c r="T59" s="596">
        <f t="shared" si="15"/>
        <v>5.9607591731520001E-3</v>
      </c>
      <c r="U59" s="384" t="s">
        <v>58</v>
      </c>
      <c r="V59" s="597">
        <f t="shared" si="8"/>
        <v>430.80032205962181</v>
      </c>
      <c r="W59" s="384" t="s">
        <v>58</v>
      </c>
      <c r="X59" s="598">
        <f t="shared" si="9"/>
        <v>1579.60118088528</v>
      </c>
      <c r="Y59" s="332"/>
      <c r="Z59" s="600">
        <v>0.25</v>
      </c>
      <c r="AA59" s="596">
        <f t="shared" si="16"/>
        <v>1.8627372416099998E-2</v>
      </c>
      <c r="AB59" s="384" t="s">
        <v>58</v>
      </c>
      <c r="AC59" s="599">
        <f t="shared" si="10"/>
        <v>142.24538935930909</v>
      </c>
      <c r="AD59" s="384" t="s">
        <v>58</v>
      </c>
      <c r="AE59" s="601">
        <f t="shared" si="11"/>
        <v>521.56642765079994</v>
      </c>
      <c r="AF59" s="332"/>
      <c r="AG59" s="602">
        <f t="shared" si="12"/>
        <v>2101.16760853608</v>
      </c>
    </row>
    <row r="60" spans="1:33" ht="12.75" customHeight="1">
      <c r="A60" s="332"/>
      <c r="B60" s="350" t="s">
        <v>706</v>
      </c>
      <c r="C60" s="603">
        <f t="shared" si="13"/>
        <v>16137076.548987413</v>
      </c>
      <c r="D60" s="332"/>
      <c r="E60" s="591">
        <f t="shared" si="14"/>
        <v>2238.0511465790646</v>
      </c>
      <c r="F60" s="384" t="s">
        <v>57</v>
      </c>
      <c r="G60" s="360">
        <v>43.942731277533035</v>
      </c>
      <c r="H60" s="384" t="s">
        <v>57</v>
      </c>
      <c r="I60" s="361">
        <v>1</v>
      </c>
      <c r="J60" s="384" t="s">
        <v>58</v>
      </c>
      <c r="K60" s="592">
        <f t="shared" si="5"/>
        <v>49173.040059749263</v>
      </c>
      <c r="L60" s="384" t="s">
        <v>58</v>
      </c>
      <c r="M60" s="364">
        <f t="shared" si="6"/>
        <v>4.4608798481403332E-2</v>
      </c>
      <c r="N60" s="384" t="s">
        <v>58</v>
      </c>
      <c r="O60" s="593">
        <f t="shared" si="7"/>
        <v>0.16356559443181221</v>
      </c>
      <c r="P60" s="350"/>
      <c r="Q60" s="582"/>
      <c r="R60" s="604">
        <v>3.1920000000000002</v>
      </c>
      <c r="S60" s="605">
        <v>0.08</v>
      </c>
      <c r="T60" s="596">
        <f t="shared" si="15"/>
        <v>4.1207638675494259E-3</v>
      </c>
      <c r="U60" s="384" t="s">
        <v>58</v>
      </c>
      <c r="V60" s="597">
        <f t="shared" si="8"/>
        <v>297.81884315470853</v>
      </c>
      <c r="W60" s="384" t="s">
        <v>58</v>
      </c>
      <c r="X60" s="598">
        <f t="shared" si="9"/>
        <v>1092.002424900598</v>
      </c>
      <c r="Y60" s="332"/>
      <c r="Z60" s="600">
        <v>0.23</v>
      </c>
      <c r="AA60" s="596">
        <f t="shared" si="16"/>
        <v>1.18471961192046E-2</v>
      </c>
      <c r="AB60" s="384" t="s">
        <v>58</v>
      </c>
      <c r="AC60" s="599">
        <f t="shared" si="10"/>
        <v>90.469497637562398</v>
      </c>
      <c r="AD60" s="384" t="s">
        <v>58</v>
      </c>
      <c r="AE60" s="601">
        <f t="shared" si="11"/>
        <v>331.72149133772876</v>
      </c>
      <c r="AF60" s="332"/>
      <c r="AG60" s="602">
        <f t="shared" si="12"/>
        <v>1423.7239162383269</v>
      </c>
    </row>
    <row r="61" spans="1:33" ht="12.75" customHeight="1">
      <c r="A61" s="332"/>
      <c r="B61" s="350" t="s">
        <v>707</v>
      </c>
      <c r="C61" s="337">
        <f>C8</f>
        <v>4144.0214299999998</v>
      </c>
      <c r="D61" s="332"/>
      <c r="E61" s="591">
        <f>G8</f>
        <v>23496.60151</v>
      </c>
      <c r="F61" s="384" t="s">
        <v>57</v>
      </c>
      <c r="G61" s="606">
        <v>42.625219031514924</v>
      </c>
      <c r="H61" s="384" t="s">
        <v>57</v>
      </c>
      <c r="I61" s="361">
        <v>1</v>
      </c>
      <c r="J61" s="384" t="s">
        <v>58</v>
      </c>
      <c r="K61" s="592">
        <f t="shared" si="5"/>
        <v>500773.89292998717</v>
      </c>
      <c r="L61" s="384" t="s">
        <v>58</v>
      </c>
      <c r="M61" s="364">
        <f t="shared" si="6"/>
        <v>0.45429206018822577</v>
      </c>
      <c r="N61" s="384" t="s">
        <v>58</v>
      </c>
      <c r="O61" s="593">
        <f t="shared" si="7"/>
        <v>1.6657375540234944</v>
      </c>
      <c r="P61" s="350"/>
      <c r="Q61" s="594">
        <v>22.24</v>
      </c>
      <c r="R61" s="332"/>
      <c r="S61" s="595">
        <v>0.1</v>
      </c>
      <c r="T61" s="596">
        <f>E61*1000*Q61*S61/1000000000</f>
        <v>5.2256441758240006E-2</v>
      </c>
      <c r="U61" s="384" t="s">
        <v>58</v>
      </c>
      <c r="V61" s="597">
        <f t="shared" si="8"/>
        <v>3776.7155634364367</v>
      </c>
      <c r="W61" s="384" t="s">
        <v>58</v>
      </c>
      <c r="X61" s="598">
        <f t="shared" si="9"/>
        <v>13847.957065933602</v>
      </c>
      <c r="Y61" s="332"/>
      <c r="Z61" s="600">
        <v>8.7000000000000008E-2</v>
      </c>
      <c r="AA61" s="596">
        <f>E61*1000*Q61*Z61/1000000000</f>
        <v>4.5463104329668803E-2</v>
      </c>
      <c r="AB61" s="384" t="s">
        <v>58</v>
      </c>
      <c r="AC61" s="599">
        <f t="shared" si="10"/>
        <v>347.17279669928899</v>
      </c>
      <c r="AD61" s="384" t="s">
        <v>58</v>
      </c>
      <c r="AE61" s="601">
        <f t="shared" si="11"/>
        <v>1272.9669212307263</v>
      </c>
      <c r="AF61" s="332" t="s">
        <v>57</v>
      </c>
      <c r="AG61" s="602">
        <f t="shared" si="12"/>
        <v>15120.923987164329</v>
      </c>
    </row>
    <row r="62" spans="1:33" ht="12.75" customHeight="1">
      <c r="A62" s="332"/>
      <c r="B62" s="350" t="s">
        <v>708</v>
      </c>
      <c r="C62" s="607">
        <v>0</v>
      </c>
      <c r="D62" s="332"/>
      <c r="E62" s="591">
        <v>0</v>
      </c>
      <c r="F62" s="384" t="s">
        <v>57</v>
      </c>
      <c r="G62" s="360">
        <v>43.5</v>
      </c>
      <c r="H62" s="384" t="s">
        <v>57</v>
      </c>
      <c r="I62" s="361">
        <v>1</v>
      </c>
      <c r="J62" s="384" t="s">
        <v>58</v>
      </c>
      <c r="K62" s="592">
        <f t="shared" si="5"/>
        <v>0</v>
      </c>
      <c r="L62" s="384" t="s">
        <v>58</v>
      </c>
      <c r="M62" s="364">
        <f t="shared" si="6"/>
        <v>0</v>
      </c>
      <c r="N62" s="384" t="s">
        <v>58</v>
      </c>
      <c r="O62" s="593">
        <f t="shared" si="7"/>
        <v>0</v>
      </c>
      <c r="P62" s="350"/>
      <c r="Q62" s="580"/>
      <c r="R62" s="350"/>
      <c r="S62" s="595">
        <v>0.1</v>
      </c>
      <c r="T62" s="332"/>
      <c r="U62" s="332"/>
      <c r="V62" s="608"/>
      <c r="W62" s="332"/>
      <c r="X62" s="609"/>
      <c r="Y62" s="332"/>
      <c r="Z62" s="600">
        <v>8.6999999999999994E-2</v>
      </c>
      <c r="AA62" s="332"/>
      <c r="AB62" s="332"/>
      <c r="AC62" s="332"/>
      <c r="AD62" s="332"/>
      <c r="AE62" s="581"/>
      <c r="AF62" s="332"/>
      <c r="AG62" s="610"/>
    </row>
    <row r="63" spans="1:33" ht="12.75" customHeight="1">
      <c r="A63" s="332"/>
      <c r="B63" s="350" t="s">
        <v>709</v>
      </c>
      <c r="C63" s="337">
        <f>E9</f>
        <v>1832181.96</v>
      </c>
      <c r="D63" s="332"/>
      <c r="E63" s="591">
        <f>G9</f>
        <v>157.26228</v>
      </c>
      <c r="F63" s="384" t="s">
        <v>57</v>
      </c>
      <c r="G63" s="606">
        <v>37.905939726350034</v>
      </c>
      <c r="H63" s="384" t="s">
        <v>57</v>
      </c>
      <c r="I63" s="361">
        <v>1</v>
      </c>
      <c r="J63" s="384" t="s">
        <v>58</v>
      </c>
      <c r="K63" s="592">
        <f t="shared" si="5"/>
        <v>2980.5872534541913</v>
      </c>
      <c r="L63" s="384" t="s">
        <v>58</v>
      </c>
      <c r="M63" s="364">
        <f t="shared" si="6"/>
        <v>2.7039291445885732E-3</v>
      </c>
      <c r="N63" s="384" t="s">
        <v>58</v>
      </c>
      <c r="O63" s="593">
        <f t="shared" si="7"/>
        <v>9.9144068634914352E-3</v>
      </c>
      <c r="P63" s="350"/>
      <c r="Q63" s="580"/>
      <c r="R63" s="350"/>
      <c r="S63" s="350"/>
      <c r="T63" s="332"/>
      <c r="U63" s="332"/>
      <c r="V63" s="608"/>
      <c r="W63" s="332"/>
      <c r="X63" s="609"/>
      <c r="Y63" s="332"/>
      <c r="Z63" s="582"/>
      <c r="AA63" s="332"/>
      <c r="AB63" s="332"/>
      <c r="AC63" s="332"/>
      <c r="AD63" s="332"/>
      <c r="AE63" s="581"/>
      <c r="AF63" s="332"/>
      <c r="AG63" s="610"/>
    </row>
    <row r="64" spans="1:33" ht="12.75" customHeight="1">
      <c r="A64" s="332"/>
      <c r="B64" s="350" t="s">
        <v>710</v>
      </c>
      <c r="C64" s="603">
        <f t="shared" ref="C64:C68" si="17">I19</f>
        <v>11991000</v>
      </c>
      <c r="D64" s="332"/>
      <c r="E64" s="591">
        <f>K26*G11</f>
        <v>9632.1943125770431</v>
      </c>
      <c r="F64" s="384" t="s">
        <v>57</v>
      </c>
      <c r="G64" s="606">
        <v>42.62265</v>
      </c>
      <c r="H64" s="384" t="s">
        <v>57</v>
      </c>
      <c r="I64" s="361">
        <v>1</v>
      </c>
      <c r="J64" s="384" t="s">
        <v>58</v>
      </c>
      <c r="K64" s="592">
        <f t="shared" si="5"/>
        <v>205274.82345848094</v>
      </c>
      <c r="L64" s="384" t="s">
        <v>58</v>
      </c>
      <c r="M64" s="364">
        <f t="shared" si="6"/>
        <v>0.18622121434506475</v>
      </c>
      <c r="N64" s="384" t="s">
        <v>58</v>
      </c>
      <c r="O64" s="593">
        <f t="shared" si="7"/>
        <v>0.68281111926523741</v>
      </c>
      <c r="P64" s="350"/>
      <c r="Q64" s="580"/>
      <c r="R64" s="605">
        <v>2.8008999999999999</v>
      </c>
      <c r="S64" s="605">
        <v>0.08</v>
      </c>
      <c r="T64" s="596">
        <f t="shared" ref="T64:T69" si="18">C64*R64*S64/1000000000</f>
        <v>2.6868473519999999E-3</v>
      </c>
      <c r="U64" s="384" t="s">
        <v>58</v>
      </c>
      <c r="V64" s="597">
        <f t="shared" ref="V64:V69" si="19">T64*$T$35*12/44*1000</f>
        <v>194.18578589454546</v>
      </c>
      <c r="W64" s="384" t="s">
        <v>58</v>
      </c>
      <c r="X64" s="598">
        <f t="shared" ref="X64:X69" si="20">V64*44/12</f>
        <v>712.01454827999999</v>
      </c>
      <c r="Y64" s="332"/>
      <c r="Z64" s="600">
        <v>0.45</v>
      </c>
      <c r="AA64" s="596">
        <f t="shared" ref="AA64:AA69" si="21">C64*R64*Z64/1000000000</f>
        <v>1.5113516355E-2</v>
      </c>
      <c r="AB64" s="384" t="s">
        <v>58</v>
      </c>
      <c r="AC64" s="599">
        <f t="shared" ref="AC64:AC69" si="22">AA64*$T$34*12/44*1000</f>
        <v>115.41230671090911</v>
      </c>
      <c r="AD64" s="384" t="s">
        <v>58</v>
      </c>
      <c r="AE64" s="601">
        <f t="shared" ref="AE64:AE69" si="23">AC64*44/12</f>
        <v>423.17845794000004</v>
      </c>
      <c r="AF64" s="332"/>
      <c r="AG64" s="602">
        <f t="shared" ref="AG64:AG69" si="24">X64+AE64</f>
        <v>1135.1930062199999</v>
      </c>
    </row>
    <row r="65" spans="1:33" ht="12.75" customHeight="1">
      <c r="A65" s="332"/>
      <c r="B65" s="350" t="s">
        <v>711</v>
      </c>
      <c r="C65" s="603">
        <f t="shared" si="17"/>
        <v>10970000</v>
      </c>
      <c r="D65" s="332"/>
      <c r="E65" s="591">
        <f>C65*C47/1000000000</f>
        <v>1362.89086</v>
      </c>
      <c r="F65" s="384" t="s">
        <v>57</v>
      </c>
      <c r="G65" s="606">
        <v>42.62265</v>
      </c>
      <c r="H65" s="384" t="s">
        <v>57</v>
      </c>
      <c r="I65" s="361">
        <v>1</v>
      </c>
      <c r="J65" s="384" t="s">
        <v>58</v>
      </c>
      <c r="K65" s="592">
        <f t="shared" si="5"/>
        <v>29045.010056989497</v>
      </c>
      <c r="L65" s="384" t="s">
        <v>58</v>
      </c>
      <c r="M65" s="364">
        <f t="shared" si="6"/>
        <v>2.634905222349973E-2</v>
      </c>
      <c r="N65" s="384" t="s">
        <v>58</v>
      </c>
      <c r="O65" s="593">
        <f t="shared" si="7"/>
        <v>9.6613191486165692E-2</v>
      </c>
      <c r="P65" s="350"/>
      <c r="Q65" s="580"/>
      <c r="R65" s="605">
        <v>2.8008999999999999</v>
      </c>
      <c r="S65" s="605">
        <v>0.08</v>
      </c>
      <c r="T65" s="596">
        <f t="shared" si="18"/>
        <v>2.4580698399999999E-3</v>
      </c>
      <c r="U65" s="384" t="s">
        <v>58</v>
      </c>
      <c r="V65" s="597">
        <f t="shared" si="19"/>
        <v>177.65141116363637</v>
      </c>
      <c r="W65" s="384" t="s">
        <v>58</v>
      </c>
      <c r="X65" s="598">
        <f t="shared" si="20"/>
        <v>651.38850760000003</v>
      </c>
      <c r="Y65" s="332"/>
      <c r="Z65" s="600">
        <v>0.45</v>
      </c>
      <c r="AA65" s="596">
        <f t="shared" si="21"/>
        <v>1.3826642849999999E-2</v>
      </c>
      <c r="AB65" s="384" t="s">
        <v>58</v>
      </c>
      <c r="AC65" s="599">
        <f t="shared" si="22"/>
        <v>105.58527267272727</v>
      </c>
      <c r="AD65" s="384" t="s">
        <v>58</v>
      </c>
      <c r="AE65" s="601">
        <f t="shared" si="23"/>
        <v>387.14599980000003</v>
      </c>
      <c r="AF65" s="332"/>
      <c r="AG65" s="602">
        <f t="shared" si="24"/>
        <v>1038.5345074000002</v>
      </c>
    </row>
    <row r="66" spans="1:33" ht="12.75" customHeight="1">
      <c r="A66" s="332"/>
      <c r="B66" s="350" t="s">
        <v>712</v>
      </c>
      <c r="C66" s="603">
        <f t="shared" si="17"/>
        <v>19725000</v>
      </c>
      <c r="D66" s="332"/>
      <c r="E66" s="591">
        <f>C66*C47/1000000000</f>
        <v>2450.5945499999998</v>
      </c>
      <c r="F66" s="384" t="s">
        <v>57</v>
      </c>
      <c r="G66" s="606">
        <v>42.62265</v>
      </c>
      <c r="H66" s="384" t="s">
        <v>57</v>
      </c>
      <c r="I66" s="361">
        <v>1</v>
      </c>
      <c r="J66" s="384" t="s">
        <v>58</v>
      </c>
      <c r="K66" s="592">
        <f t="shared" si="5"/>
        <v>52225.416898278745</v>
      </c>
      <c r="L66" s="384" t="s">
        <v>58</v>
      </c>
      <c r="M66" s="364">
        <f t="shared" si="6"/>
        <v>4.7377853701780513E-2</v>
      </c>
      <c r="N66" s="384" t="s">
        <v>58</v>
      </c>
      <c r="O66" s="593">
        <f t="shared" si="7"/>
        <v>0.17371879690652856</v>
      </c>
      <c r="P66" s="350"/>
      <c r="Q66" s="580"/>
      <c r="R66" s="604">
        <v>2.8008999999999999</v>
      </c>
      <c r="S66" s="605">
        <v>0.08</v>
      </c>
      <c r="T66" s="596">
        <f t="shared" si="18"/>
        <v>4.4198202000000006E-3</v>
      </c>
      <c r="U66" s="384" t="s">
        <v>58</v>
      </c>
      <c r="V66" s="597">
        <f t="shared" si="19"/>
        <v>319.43245990909099</v>
      </c>
      <c r="W66" s="384" t="s">
        <v>58</v>
      </c>
      <c r="X66" s="598">
        <f t="shared" si="20"/>
        <v>1171.2523530000003</v>
      </c>
      <c r="Y66" s="332"/>
      <c r="Z66" s="600">
        <v>0.18</v>
      </c>
      <c r="AA66" s="596">
        <f t="shared" si="21"/>
        <v>9.9445954499999996E-3</v>
      </c>
      <c r="AB66" s="384" t="s">
        <v>58</v>
      </c>
      <c r="AC66" s="599">
        <f t="shared" si="22"/>
        <v>75.940547072727284</v>
      </c>
      <c r="AD66" s="384" t="s">
        <v>58</v>
      </c>
      <c r="AE66" s="601">
        <f t="shared" si="23"/>
        <v>278.44867260000007</v>
      </c>
      <c r="AF66" s="332"/>
      <c r="AG66" s="602">
        <f t="shared" si="24"/>
        <v>1449.7010256000003</v>
      </c>
    </row>
    <row r="67" spans="1:33" ht="12.75" customHeight="1">
      <c r="A67" s="332"/>
      <c r="B67" s="350" t="s">
        <v>713</v>
      </c>
      <c r="C67" s="603">
        <f t="shared" si="17"/>
        <v>9811178.4685605839</v>
      </c>
      <c r="D67" s="332"/>
      <c r="E67" s="591">
        <f>C67*C47/1000000000</f>
        <v>1218.9211905770298</v>
      </c>
      <c r="F67" s="384" t="s">
        <v>57</v>
      </c>
      <c r="G67" s="606">
        <v>42.62265</v>
      </c>
      <c r="H67" s="384" t="s">
        <v>57</v>
      </c>
      <c r="I67" s="361">
        <v>1</v>
      </c>
      <c r="J67" s="384" t="s">
        <v>58</v>
      </c>
      <c r="K67" s="592">
        <f t="shared" si="5"/>
        <v>25976.825641774019</v>
      </c>
      <c r="L67" s="384" t="s">
        <v>58</v>
      </c>
      <c r="M67" s="364">
        <f t="shared" si="6"/>
        <v>2.3565656685704553E-2</v>
      </c>
      <c r="N67" s="384" t="s">
        <v>58</v>
      </c>
      <c r="O67" s="593">
        <f t="shared" si="7"/>
        <v>8.640740784758337E-2</v>
      </c>
      <c r="P67" s="350"/>
      <c r="Q67" s="580"/>
      <c r="R67" s="604">
        <v>2.8008999999999999</v>
      </c>
      <c r="S67" s="605">
        <v>0.08</v>
      </c>
      <c r="T67" s="596">
        <f t="shared" si="18"/>
        <v>2.1984103818073072E-3</v>
      </c>
      <c r="U67" s="384" t="s">
        <v>58</v>
      </c>
      <c r="V67" s="597">
        <f t="shared" si="19"/>
        <v>158.88511395789175</v>
      </c>
      <c r="W67" s="384" t="s">
        <v>58</v>
      </c>
      <c r="X67" s="598">
        <f t="shared" si="20"/>
        <v>582.57875117893639</v>
      </c>
      <c r="Y67" s="332"/>
      <c r="Z67" s="600">
        <v>0.18</v>
      </c>
      <c r="AA67" s="596">
        <f t="shared" si="21"/>
        <v>4.9464233590664408E-3</v>
      </c>
      <c r="AB67" s="384" t="s">
        <v>58</v>
      </c>
      <c r="AC67" s="599">
        <f t="shared" si="22"/>
        <v>37.77268746923464</v>
      </c>
      <c r="AD67" s="384" t="s">
        <v>58</v>
      </c>
      <c r="AE67" s="601">
        <f t="shared" si="23"/>
        <v>138.49985405386033</v>
      </c>
      <c r="AF67" s="332"/>
      <c r="AG67" s="602">
        <f t="shared" si="24"/>
        <v>721.07860523279669</v>
      </c>
    </row>
    <row r="68" spans="1:33" ht="12.75" customHeight="1">
      <c r="A68" s="332"/>
      <c r="B68" s="332" t="s">
        <v>714</v>
      </c>
      <c r="C68" s="603">
        <f t="shared" si="17"/>
        <v>25033000</v>
      </c>
      <c r="D68" s="332"/>
      <c r="E68" s="591">
        <f>C68*C47/1000000000</f>
        <v>3110.0498539999999</v>
      </c>
      <c r="F68" s="384" t="s">
        <v>57</v>
      </c>
      <c r="G68" s="606">
        <v>42.62265</v>
      </c>
      <c r="H68" s="384" t="s">
        <v>57</v>
      </c>
      <c r="I68" s="361">
        <v>1</v>
      </c>
      <c r="J68" s="384" t="s">
        <v>58</v>
      </c>
      <c r="K68" s="592">
        <f t="shared" si="5"/>
        <v>66279.283204796549</v>
      </c>
      <c r="L68" s="384" t="s">
        <v>58</v>
      </c>
      <c r="M68" s="364">
        <f t="shared" si="6"/>
        <v>6.0127240137727335E-2</v>
      </c>
      <c r="N68" s="384" t="s">
        <v>58</v>
      </c>
      <c r="O68" s="593">
        <f t="shared" si="7"/>
        <v>0.22046654717166689</v>
      </c>
      <c r="P68" s="350"/>
      <c r="Q68" s="580"/>
      <c r="R68" s="611">
        <v>2.8008999999999999</v>
      </c>
      <c r="S68" s="612">
        <v>0.08</v>
      </c>
      <c r="T68" s="596">
        <f t="shared" si="18"/>
        <v>5.6091943759999999E-3</v>
      </c>
      <c r="U68" s="384" t="s">
        <v>58</v>
      </c>
      <c r="V68" s="597">
        <f t="shared" si="19"/>
        <v>405.39177535636367</v>
      </c>
      <c r="W68" s="384" t="s">
        <v>58</v>
      </c>
      <c r="X68" s="598">
        <f t="shared" si="20"/>
        <v>1486.4365096399999</v>
      </c>
      <c r="Y68" s="332"/>
      <c r="Z68" s="613">
        <v>0.23</v>
      </c>
      <c r="AA68" s="596">
        <f t="shared" si="21"/>
        <v>1.6126433831E-2</v>
      </c>
      <c r="AB68" s="384" t="s">
        <v>58</v>
      </c>
      <c r="AC68" s="599">
        <f t="shared" si="22"/>
        <v>123.14731289127273</v>
      </c>
      <c r="AD68" s="384" t="s">
        <v>58</v>
      </c>
      <c r="AE68" s="601">
        <f t="shared" si="23"/>
        <v>451.54014726800006</v>
      </c>
      <c r="AF68" s="332"/>
      <c r="AG68" s="602">
        <f t="shared" si="24"/>
        <v>1937.976656908</v>
      </c>
    </row>
    <row r="69" spans="1:33" ht="12.75" customHeight="1">
      <c r="A69" s="332"/>
      <c r="B69" s="350" t="s">
        <v>458</v>
      </c>
      <c r="C69" s="337">
        <f>E14</f>
        <v>51301974.780000001</v>
      </c>
      <c r="D69" s="332"/>
      <c r="E69" s="591">
        <f>G14</f>
        <v>7679.4170299999996</v>
      </c>
      <c r="F69" s="384" t="s">
        <v>57</v>
      </c>
      <c r="G69" s="360">
        <v>47.33480176211453</v>
      </c>
      <c r="H69" s="384" t="s">
        <v>57</v>
      </c>
      <c r="I69" s="361">
        <v>1</v>
      </c>
      <c r="J69" s="384" t="s">
        <v>58</v>
      </c>
      <c r="K69" s="592">
        <f t="shared" si="5"/>
        <v>181751.84138182816</v>
      </c>
      <c r="L69" s="384" t="s">
        <v>58</v>
      </c>
      <c r="M69" s="364">
        <f t="shared" si="6"/>
        <v>0.16488163546476689</v>
      </c>
      <c r="N69" s="384" t="s">
        <v>58</v>
      </c>
      <c r="O69" s="593">
        <f t="shared" si="7"/>
        <v>0.60456599670414524</v>
      </c>
      <c r="P69" s="350"/>
      <c r="Q69" s="580"/>
      <c r="R69" s="604">
        <v>3.5750000000000002</v>
      </c>
      <c r="S69" s="605">
        <v>0.08</v>
      </c>
      <c r="T69" s="596">
        <f t="shared" si="18"/>
        <v>1.4672364787080002E-2</v>
      </c>
      <c r="U69" s="384" t="s">
        <v>58</v>
      </c>
      <c r="V69" s="597">
        <f t="shared" si="19"/>
        <v>1060.4118187026002</v>
      </c>
      <c r="W69" s="384" t="s">
        <v>58</v>
      </c>
      <c r="X69" s="598">
        <f t="shared" si="20"/>
        <v>3888.1766685762009</v>
      </c>
      <c r="Y69" s="332"/>
      <c r="Z69" s="600">
        <v>0.23</v>
      </c>
      <c r="AA69" s="596">
        <f t="shared" si="21"/>
        <v>4.2183048762855009E-2</v>
      </c>
      <c r="AB69" s="384" t="s">
        <v>58</v>
      </c>
      <c r="AC69" s="599">
        <f t="shared" si="22"/>
        <v>322.12509964362005</v>
      </c>
      <c r="AD69" s="384" t="s">
        <v>58</v>
      </c>
      <c r="AE69" s="601">
        <f t="shared" si="23"/>
        <v>1181.1253653599401</v>
      </c>
      <c r="AF69" s="332"/>
      <c r="AG69" s="602">
        <f t="shared" si="24"/>
        <v>5069.302033936141</v>
      </c>
    </row>
    <row r="70" spans="1:33" ht="12.75" customHeight="1">
      <c r="A70" s="332"/>
      <c r="B70" s="350" t="s">
        <v>399</v>
      </c>
      <c r="C70" s="337">
        <f>E13</f>
        <v>3236.1390000000001</v>
      </c>
      <c r="D70" s="332"/>
      <c r="E70" s="591">
        <f>G13</f>
        <v>3348.01233</v>
      </c>
      <c r="F70" s="384" t="s">
        <v>57</v>
      </c>
      <c r="G70" s="360">
        <v>31.872246696035241</v>
      </c>
      <c r="H70" s="384" t="s">
        <v>57</v>
      </c>
      <c r="I70" s="361">
        <v>1</v>
      </c>
      <c r="J70" s="384" t="s">
        <v>58</v>
      </c>
      <c r="K70" s="592">
        <f t="shared" si="5"/>
        <v>53354.337461563875</v>
      </c>
      <c r="L70" s="384" t="s">
        <v>58</v>
      </c>
      <c r="M70" s="364">
        <f t="shared" si="6"/>
        <v>4.8401987858381512E-2</v>
      </c>
      <c r="N70" s="384" t="s">
        <v>58</v>
      </c>
      <c r="O70" s="593">
        <f t="shared" si="7"/>
        <v>0.17747395548073222</v>
      </c>
      <c r="P70" s="350"/>
      <c r="Q70" s="580"/>
      <c r="R70" s="350"/>
      <c r="S70" s="350"/>
      <c r="T70" s="332"/>
      <c r="U70" s="332"/>
      <c r="V70" s="332"/>
      <c r="W70" s="332"/>
      <c r="X70" s="581"/>
      <c r="Y70" s="332"/>
      <c r="Z70" s="582"/>
      <c r="AA70" s="332"/>
      <c r="AB70" s="332"/>
      <c r="AC70" s="332"/>
      <c r="AD70" s="332"/>
      <c r="AE70" s="581"/>
      <c r="AF70" s="332"/>
      <c r="AG70" s="610"/>
    </row>
    <row r="71" spans="1:33" ht="12.75" customHeight="1">
      <c r="A71" s="332"/>
      <c r="B71" s="350" t="s">
        <v>592</v>
      </c>
      <c r="C71" s="332"/>
      <c r="D71" s="332"/>
      <c r="E71" s="591"/>
      <c r="F71" s="384" t="s">
        <v>57</v>
      </c>
      <c r="G71" s="614"/>
      <c r="H71" s="384" t="s">
        <v>57</v>
      </c>
      <c r="I71" s="615"/>
      <c r="J71" s="384" t="s">
        <v>58</v>
      </c>
      <c r="K71" s="592">
        <f t="shared" si="5"/>
        <v>0</v>
      </c>
      <c r="L71" s="384" t="s">
        <v>58</v>
      </c>
      <c r="M71" s="364">
        <f t="shared" si="6"/>
        <v>0</v>
      </c>
      <c r="N71" s="384" t="s">
        <v>58</v>
      </c>
      <c r="O71" s="593">
        <f t="shared" si="7"/>
        <v>0</v>
      </c>
      <c r="P71" s="350"/>
      <c r="Q71" s="580"/>
      <c r="R71" s="350"/>
      <c r="S71" s="350"/>
      <c r="T71" s="332"/>
      <c r="U71" s="332"/>
      <c r="V71" s="332"/>
      <c r="W71" s="332"/>
      <c r="X71" s="581"/>
      <c r="Y71" s="332"/>
      <c r="Z71" s="582"/>
      <c r="AA71" s="332"/>
      <c r="AB71" s="332"/>
      <c r="AC71" s="332"/>
      <c r="AD71" s="332"/>
      <c r="AE71" s="581"/>
      <c r="AF71" s="332"/>
      <c r="AG71" s="610"/>
    </row>
    <row r="72" spans="1:33" ht="13.5" customHeight="1">
      <c r="A72" s="332"/>
      <c r="B72" s="350"/>
      <c r="C72" s="332"/>
      <c r="D72" s="332"/>
      <c r="E72" s="350"/>
      <c r="F72" s="350"/>
      <c r="G72" s="350"/>
      <c r="H72" s="350"/>
      <c r="I72" s="350"/>
      <c r="J72" s="350"/>
      <c r="K72" s="616"/>
      <c r="L72" s="617"/>
      <c r="M72" s="618"/>
      <c r="N72" s="619"/>
      <c r="O72" s="620"/>
      <c r="P72" s="350"/>
      <c r="Q72" s="616"/>
      <c r="R72" s="618"/>
      <c r="S72" s="618"/>
      <c r="T72" s="621"/>
      <c r="U72" s="621"/>
      <c r="V72" s="621"/>
      <c r="W72" s="621"/>
      <c r="X72" s="622"/>
      <c r="Y72" s="332"/>
      <c r="Z72" s="623"/>
      <c r="AA72" s="621"/>
      <c r="AB72" s="621"/>
      <c r="AC72" s="621"/>
      <c r="AD72" s="621"/>
      <c r="AE72" s="622"/>
      <c r="AF72" s="332"/>
      <c r="AG72" s="624"/>
    </row>
    <row r="73" spans="1:33" ht="12" customHeight="1"/>
    <row r="74" spans="1:33" ht="11.25" customHeight="1">
      <c r="B74" s="14"/>
      <c r="C74" s="14"/>
      <c r="D74" s="14"/>
      <c r="E74" s="14"/>
      <c r="F74" s="14"/>
      <c r="G74" s="14"/>
      <c r="H74" s="14"/>
      <c r="M74" s="14"/>
      <c r="N74" s="14"/>
      <c r="O74" s="14"/>
      <c r="P74" s="14"/>
      <c r="Q74" s="14"/>
      <c r="R74" s="14"/>
      <c r="S74" s="14"/>
    </row>
    <row r="75" spans="1:33" ht="11.25" customHeight="1">
      <c r="B75" s="14"/>
      <c r="C75" s="14"/>
      <c r="D75" s="14"/>
      <c r="E75" s="14"/>
      <c r="F75" s="14"/>
      <c r="G75" s="14"/>
      <c r="H75" s="14"/>
      <c r="I75" s="201"/>
      <c r="M75" s="14"/>
      <c r="N75" s="14"/>
      <c r="O75" s="14"/>
      <c r="P75" s="14"/>
      <c r="Q75" s="14"/>
      <c r="R75" s="14"/>
      <c r="S75" s="14"/>
    </row>
    <row r="76" spans="1:33" ht="12.75" customHeight="1">
      <c r="A76" s="332"/>
      <c r="B76" s="350"/>
      <c r="C76" s="350"/>
      <c r="D76" s="350"/>
      <c r="E76" s="356" t="s">
        <v>715</v>
      </c>
      <c r="F76" s="350"/>
      <c r="G76" s="350"/>
      <c r="H76" s="350"/>
      <c r="I76" s="356" t="s">
        <v>716</v>
      </c>
      <c r="J76" s="384"/>
      <c r="K76" s="350"/>
      <c r="L76" s="625"/>
      <c r="M76" s="350"/>
      <c r="N76" s="384"/>
      <c r="O76" s="14"/>
      <c r="P76" s="14"/>
      <c r="Q76" s="14"/>
      <c r="R76" s="14"/>
      <c r="S76" s="14"/>
      <c r="T76" s="332"/>
      <c r="U76" s="332"/>
      <c r="V76" s="332"/>
      <c r="W76" s="332"/>
      <c r="X76" s="332"/>
      <c r="Y76" s="332"/>
      <c r="Z76" s="332"/>
      <c r="AA76" s="332"/>
      <c r="AB76" s="332"/>
      <c r="AC76" s="332"/>
      <c r="AD76" s="332"/>
      <c r="AE76" s="332"/>
      <c r="AF76" s="332"/>
      <c r="AG76" s="332"/>
    </row>
    <row r="77" spans="1:33" ht="12.75" customHeight="1">
      <c r="A77" s="332"/>
      <c r="B77" s="350"/>
      <c r="C77" s="356" t="s">
        <v>68</v>
      </c>
      <c r="D77" s="350"/>
      <c r="E77" s="356" t="s">
        <v>68</v>
      </c>
      <c r="F77" s="350"/>
      <c r="G77" s="350"/>
      <c r="H77" s="350"/>
      <c r="I77" s="356" t="s">
        <v>68</v>
      </c>
      <c r="J77" s="350"/>
      <c r="K77" s="356" t="s">
        <v>451</v>
      </c>
      <c r="L77" s="350"/>
      <c r="M77" s="356" t="s">
        <v>558</v>
      </c>
      <c r="N77" s="350"/>
      <c r="O77" s="387" t="s">
        <v>95</v>
      </c>
      <c r="P77" s="350"/>
      <c r="Q77" s="387" t="s">
        <v>95</v>
      </c>
      <c r="R77" s="350"/>
      <c r="S77" s="387" t="s">
        <v>95</v>
      </c>
      <c r="T77" s="332"/>
      <c r="U77" s="332"/>
      <c r="V77" s="332"/>
      <c r="W77" s="332"/>
      <c r="X77" s="332"/>
      <c r="Y77" s="332"/>
      <c r="Z77" s="332"/>
      <c r="AA77" s="332"/>
      <c r="AB77" s="332"/>
      <c r="AC77" s="332"/>
      <c r="AD77" s="332"/>
      <c r="AE77" s="332"/>
      <c r="AF77" s="332"/>
      <c r="AG77" s="332"/>
    </row>
    <row r="78" spans="1:33" ht="14.25" customHeight="1">
      <c r="A78" s="332"/>
      <c r="B78" s="350"/>
      <c r="C78" s="356" t="s">
        <v>453</v>
      </c>
      <c r="D78" s="350"/>
      <c r="E78" s="356" t="s">
        <v>453</v>
      </c>
      <c r="F78" s="350"/>
      <c r="G78" s="356" t="s">
        <v>717</v>
      </c>
      <c r="H78" s="350"/>
      <c r="I78" s="356" t="s">
        <v>453</v>
      </c>
      <c r="J78" s="350"/>
      <c r="K78" s="356" t="s">
        <v>559</v>
      </c>
      <c r="L78" s="350"/>
      <c r="M78" s="356" t="s">
        <v>560</v>
      </c>
      <c r="N78" s="350"/>
      <c r="O78" s="356" t="s">
        <v>561</v>
      </c>
      <c r="P78" s="356"/>
      <c r="Q78" s="356" t="s">
        <v>688</v>
      </c>
      <c r="R78" s="350"/>
      <c r="S78" s="387" t="s">
        <v>718</v>
      </c>
      <c r="T78" s="332"/>
      <c r="U78" s="332"/>
      <c r="V78" s="332"/>
      <c r="W78" s="332"/>
      <c r="X78" s="332"/>
      <c r="Y78" s="332"/>
      <c r="Z78" s="332"/>
      <c r="AA78" s="332"/>
      <c r="AB78" s="332"/>
      <c r="AC78" s="332"/>
      <c r="AD78" s="332"/>
      <c r="AE78" s="332"/>
      <c r="AF78" s="332"/>
      <c r="AG78" s="332"/>
    </row>
    <row r="79" spans="1:33" ht="12.75" customHeight="1">
      <c r="A79" s="332"/>
      <c r="B79" s="350" t="s">
        <v>719</v>
      </c>
      <c r="C79" s="591">
        <v>1613.2806599999999</v>
      </c>
      <c r="D79" s="384" t="s">
        <v>75</v>
      </c>
      <c r="E79" s="591">
        <v>1613.2806599999999</v>
      </c>
      <c r="F79" s="384" t="s">
        <v>57</v>
      </c>
      <c r="G79" s="626">
        <v>9.2393732597307904E-2</v>
      </c>
      <c r="H79" s="384" t="s">
        <v>76</v>
      </c>
      <c r="I79" s="359">
        <f>C79-(E79*G79)</f>
        <v>1464.2236380955515</v>
      </c>
      <c r="J79" s="384" t="s">
        <v>57</v>
      </c>
      <c r="K79" s="360">
        <v>44.581497797356818</v>
      </c>
      <c r="L79" s="384" t="s">
        <v>57</v>
      </c>
      <c r="M79" s="361">
        <v>1</v>
      </c>
      <c r="N79" s="384" t="s">
        <v>58</v>
      </c>
      <c r="O79" s="359">
        <f>I79*1000*K79*M79/2000</f>
        <v>32638.641448297309</v>
      </c>
      <c r="P79" s="384" t="s">
        <v>58</v>
      </c>
      <c r="Q79" s="364">
        <f>O79*0.90718/1000000</f>
        <v>2.9609122749066352E-2</v>
      </c>
      <c r="R79" s="384" t="s">
        <v>58</v>
      </c>
      <c r="S79" s="364">
        <f>Q79*44/12</f>
        <v>0.10856678341324329</v>
      </c>
      <c r="T79" s="332"/>
      <c r="U79" s="332"/>
      <c r="V79" s="332"/>
      <c r="W79" s="332"/>
      <c r="X79" s="332"/>
      <c r="Y79" s="332"/>
      <c r="Z79" s="332"/>
      <c r="AA79" s="332"/>
      <c r="AB79" s="332"/>
      <c r="AC79" s="332"/>
      <c r="AD79" s="332"/>
      <c r="AE79" s="332"/>
      <c r="AF79" s="332"/>
      <c r="AG79" s="332"/>
    </row>
    <row r="80" spans="1:33" ht="11.25" customHeight="1"/>
    <row r="81" spans="1:33" ht="21" customHeight="1">
      <c r="B81" s="627" t="s">
        <v>720</v>
      </c>
      <c r="C81" s="628"/>
      <c r="D81" s="629"/>
      <c r="E81" s="628"/>
      <c r="F81" s="628"/>
      <c r="G81" s="629">
        <v>2006</v>
      </c>
      <c r="H81" s="628"/>
      <c r="I81" s="628"/>
      <c r="J81" s="628"/>
      <c r="K81" s="628"/>
      <c r="L81" s="628"/>
      <c r="M81" s="628"/>
    </row>
    <row r="82" spans="1:33" ht="12.75" customHeight="1">
      <c r="B82" s="279"/>
      <c r="C82" s="1"/>
      <c r="D82" s="279"/>
      <c r="E82" s="279"/>
      <c r="F82" s="1"/>
      <c r="G82" s="1"/>
      <c r="H82" s="1"/>
      <c r="I82" s="1"/>
      <c r="J82" s="1"/>
      <c r="K82" s="1"/>
      <c r="L82" s="1"/>
      <c r="M82" s="1"/>
    </row>
    <row r="83" spans="1:33" ht="11.25" customHeight="1">
      <c r="B83" s="1"/>
      <c r="C83" s="630" t="s">
        <v>68</v>
      </c>
      <c r="D83" s="630"/>
      <c r="E83" s="630" t="s">
        <v>451</v>
      </c>
      <c r="F83" s="1"/>
      <c r="G83" s="630" t="s">
        <v>558</v>
      </c>
      <c r="H83" s="1"/>
      <c r="I83" s="307" t="s">
        <v>95</v>
      </c>
      <c r="J83" s="1"/>
      <c r="K83" s="307" t="s">
        <v>95</v>
      </c>
      <c r="L83" s="1"/>
      <c r="M83" s="307" t="s">
        <v>95</v>
      </c>
    </row>
    <row r="84" spans="1:33" ht="11.25" customHeight="1">
      <c r="B84" s="631" t="s">
        <v>238</v>
      </c>
      <c r="C84" s="630" t="s">
        <v>453</v>
      </c>
      <c r="D84" s="1"/>
      <c r="E84" s="630" t="s">
        <v>559</v>
      </c>
      <c r="F84" s="1"/>
      <c r="G84" s="630" t="s">
        <v>560</v>
      </c>
      <c r="H84" s="1"/>
      <c r="I84" s="630" t="s">
        <v>561</v>
      </c>
      <c r="J84" s="630"/>
      <c r="K84" s="630" t="s">
        <v>688</v>
      </c>
      <c r="L84" s="1"/>
      <c r="M84" s="307" t="s">
        <v>721</v>
      </c>
    </row>
    <row r="85" spans="1:33" ht="11.25" customHeight="1">
      <c r="B85" s="632" t="s">
        <v>707</v>
      </c>
      <c r="C85" s="633">
        <v>0</v>
      </c>
      <c r="D85" s="634" t="s">
        <v>57</v>
      </c>
      <c r="E85" s="635">
        <v>42.625219031514924</v>
      </c>
      <c r="F85" s="634" t="s">
        <v>57</v>
      </c>
      <c r="G85" s="636">
        <v>1</v>
      </c>
      <c r="H85" s="637" t="s">
        <v>58</v>
      </c>
      <c r="I85" s="638">
        <f t="shared" ref="I85:I87" si="25">C85*1000*E85*G85/2000</f>
        <v>0</v>
      </c>
      <c r="J85" s="637" t="s">
        <v>58</v>
      </c>
      <c r="K85" s="639">
        <f t="shared" ref="K85:K87" si="26">I85*0.90718/1000000</f>
        <v>0</v>
      </c>
      <c r="L85" s="640" t="s">
        <v>58</v>
      </c>
      <c r="M85" s="639">
        <f t="shared" ref="M85:M87" si="27">K85*44/12</f>
        <v>0</v>
      </c>
    </row>
    <row r="86" spans="1:33" ht="11.25" customHeight="1">
      <c r="B86" s="632" t="s">
        <v>457</v>
      </c>
      <c r="C86" s="633">
        <v>3.4633750619999999</v>
      </c>
      <c r="D86" s="634" t="s">
        <v>57</v>
      </c>
      <c r="E86" s="641">
        <v>43.942731277533035</v>
      </c>
      <c r="F86" s="634" t="s">
        <v>57</v>
      </c>
      <c r="G86" s="636">
        <v>1</v>
      </c>
      <c r="H86" s="637" t="s">
        <v>58</v>
      </c>
      <c r="I86" s="638">
        <f t="shared" si="25"/>
        <v>76.095079831387665</v>
      </c>
      <c r="J86" s="637" t="s">
        <v>58</v>
      </c>
      <c r="K86" s="639">
        <f t="shared" si="26"/>
        <v>6.9031934521438258E-5</v>
      </c>
      <c r="L86" s="640" t="s">
        <v>58</v>
      </c>
      <c r="M86" s="639">
        <f t="shared" si="27"/>
        <v>2.5311709324527361E-4</v>
      </c>
    </row>
    <row r="87" spans="1:33" ht="12" customHeight="1">
      <c r="B87" s="632" t="s">
        <v>458</v>
      </c>
      <c r="C87" s="633">
        <v>0.76888614600000016</v>
      </c>
      <c r="D87" s="634" t="s">
        <v>57</v>
      </c>
      <c r="E87" s="641">
        <v>47.33480176211453</v>
      </c>
      <c r="F87" s="634" t="s">
        <v>57</v>
      </c>
      <c r="G87" s="636">
        <v>1</v>
      </c>
      <c r="H87" s="637" t="s">
        <v>58</v>
      </c>
      <c r="I87" s="638">
        <f t="shared" si="25"/>
        <v>18.197536649273129</v>
      </c>
      <c r="J87" s="637" t="s">
        <v>58</v>
      </c>
      <c r="K87" s="639">
        <f t="shared" si="26"/>
        <v>1.6508441297487598E-5</v>
      </c>
      <c r="L87" s="640" t="s">
        <v>58</v>
      </c>
      <c r="M87" s="639">
        <f t="shared" si="27"/>
        <v>6.0530951424121194E-5</v>
      </c>
    </row>
    <row r="88" spans="1:33" ht="12" customHeight="1">
      <c r="B88" s="631" t="s">
        <v>152</v>
      </c>
      <c r="C88" s="642"/>
      <c r="D88" s="634"/>
      <c r="E88" s="643"/>
      <c r="F88" s="634"/>
      <c r="G88" s="644"/>
      <c r="H88" s="637"/>
      <c r="I88" s="645"/>
      <c r="J88" s="637"/>
      <c r="K88" s="646">
        <f>SUM(K85:K87)</f>
        <v>8.5540375818925863E-5</v>
      </c>
      <c r="L88" s="632"/>
      <c r="M88" s="646">
        <f>SUM(M85:M87)</f>
        <v>3.1364804466939479E-4</v>
      </c>
    </row>
    <row r="89" spans="1:33" ht="12" customHeight="1">
      <c r="A89" s="16"/>
      <c r="B89" s="647"/>
      <c r="C89" s="648"/>
      <c r="D89" s="649"/>
      <c r="E89" s="650"/>
      <c r="F89" s="649"/>
      <c r="G89" s="651"/>
      <c r="H89" s="652"/>
      <c r="I89" s="653"/>
      <c r="J89" s="652"/>
      <c r="K89" s="654"/>
      <c r="L89" s="655"/>
      <c r="M89" s="654"/>
      <c r="N89" s="16"/>
    </row>
    <row r="90" spans="1:33" ht="11.25" customHeight="1"/>
    <row r="91" spans="1:33" ht="21" customHeight="1">
      <c r="B91" s="566" t="s">
        <v>722</v>
      </c>
      <c r="C91" s="567"/>
      <c r="D91" s="568"/>
      <c r="E91" s="568"/>
      <c r="F91" s="567"/>
      <c r="G91" s="567"/>
      <c r="H91" s="567"/>
      <c r="I91" s="567"/>
      <c r="J91" s="567"/>
      <c r="K91" s="567"/>
      <c r="L91" s="332"/>
      <c r="M91" s="332"/>
      <c r="N91" s="332"/>
      <c r="O91" s="332"/>
      <c r="P91" s="332"/>
      <c r="Q91" s="332"/>
      <c r="R91" s="332"/>
      <c r="S91" s="332"/>
    </row>
    <row r="92" spans="1:33" ht="12" customHeight="1"/>
    <row r="93" spans="1:33" ht="13.5" customHeight="1">
      <c r="A93" s="332"/>
      <c r="B93" s="656"/>
      <c r="C93" s="657" t="s">
        <v>723</v>
      </c>
      <c r="D93" s="332"/>
      <c r="E93" s="657" t="s">
        <v>4</v>
      </c>
      <c r="F93" s="332"/>
      <c r="G93" s="657" t="s">
        <v>5</v>
      </c>
      <c r="H93" s="332"/>
      <c r="I93" s="657" t="s">
        <v>6</v>
      </c>
      <c r="J93" s="332"/>
      <c r="K93" s="657" t="s">
        <v>724</v>
      </c>
      <c r="L93" s="332"/>
      <c r="M93" s="332"/>
      <c r="N93" s="332"/>
      <c r="O93" s="332"/>
      <c r="P93" s="332"/>
      <c r="Q93" s="332"/>
      <c r="R93" s="332"/>
      <c r="S93" s="332"/>
      <c r="T93" s="332"/>
      <c r="U93" s="332"/>
      <c r="V93" s="332"/>
      <c r="W93" s="332"/>
      <c r="X93" s="332"/>
      <c r="Y93" s="332"/>
      <c r="Z93" s="332"/>
      <c r="AA93" s="332"/>
      <c r="AB93" s="332"/>
      <c r="AC93" s="332"/>
      <c r="AD93" s="332"/>
      <c r="AE93" s="332"/>
      <c r="AF93" s="332"/>
      <c r="AG93" s="332"/>
    </row>
    <row r="94" spans="1:33" ht="13.5" customHeight="1">
      <c r="A94" s="332"/>
      <c r="B94" s="658" t="s">
        <v>725</v>
      </c>
      <c r="C94" s="659">
        <v>56618</v>
      </c>
      <c r="D94" s="332"/>
      <c r="E94" s="660">
        <v>29.100999999999999</v>
      </c>
      <c r="F94" s="332"/>
      <c r="G94" s="660">
        <v>4.7E-2</v>
      </c>
      <c r="H94" s="332"/>
      <c r="I94" s="660">
        <v>0.52100000000000002</v>
      </c>
      <c r="J94" s="332"/>
      <c r="K94" s="660">
        <v>29.67</v>
      </c>
      <c r="L94" s="332"/>
      <c r="M94" s="332"/>
      <c r="N94" s="332"/>
      <c r="O94" s="332"/>
      <c r="P94" s="332"/>
      <c r="Q94" s="332"/>
      <c r="R94" s="332"/>
      <c r="S94" s="332"/>
      <c r="T94" s="332"/>
      <c r="U94" s="332"/>
      <c r="V94" s="332"/>
      <c r="W94" s="332"/>
      <c r="X94" s="332"/>
      <c r="Y94" s="332"/>
      <c r="Z94" s="332"/>
      <c r="AA94" s="332"/>
      <c r="AB94" s="332"/>
      <c r="AC94" s="332"/>
      <c r="AD94" s="332"/>
      <c r="AE94" s="332"/>
      <c r="AF94" s="332"/>
      <c r="AG94" s="332"/>
    </row>
    <row r="95" spans="1:33" ht="13.5" customHeight="1">
      <c r="A95" s="332"/>
      <c r="B95" s="661" t="s">
        <v>726</v>
      </c>
      <c r="C95" s="662"/>
      <c r="D95" s="332"/>
      <c r="E95" s="663"/>
      <c r="F95" s="332"/>
      <c r="G95" s="663"/>
      <c r="H95" s="332"/>
      <c r="I95" s="663"/>
      <c r="J95" s="332"/>
      <c r="K95" s="663"/>
      <c r="L95" s="332"/>
      <c r="M95" s="332"/>
      <c r="N95" s="332"/>
      <c r="O95" s="332"/>
      <c r="P95" s="332"/>
      <c r="Q95" s="332"/>
      <c r="R95" s="332"/>
      <c r="S95" s="332"/>
      <c r="T95" s="332"/>
      <c r="U95" s="332"/>
      <c r="V95" s="332"/>
      <c r="W95" s="332"/>
      <c r="X95" s="332"/>
      <c r="Y95" s="332"/>
      <c r="Z95" s="332"/>
      <c r="AA95" s="332"/>
      <c r="AB95" s="332"/>
      <c r="AC95" s="332"/>
      <c r="AD95" s="332"/>
      <c r="AE95" s="332"/>
      <c r="AF95" s="332"/>
      <c r="AG95" s="332"/>
    </row>
    <row r="96" spans="1:33" ht="13.5" customHeight="1">
      <c r="A96" s="332"/>
      <c r="B96" s="664" t="s">
        <v>653</v>
      </c>
      <c r="C96" s="665">
        <v>52720</v>
      </c>
      <c r="D96" s="332"/>
      <c r="E96" s="666">
        <v>23.195</v>
      </c>
      <c r="F96" s="332"/>
      <c r="G96" s="666">
        <v>4.6199999999999998E-2</v>
      </c>
      <c r="H96" s="332"/>
      <c r="I96" s="666">
        <v>0.51829999999999998</v>
      </c>
      <c r="J96" s="332"/>
      <c r="K96" s="666">
        <v>23.76</v>
      </c>
      <c r="L96" s="332"/>
      <c r="M96" s="332"/>
      <c r="N96" s="332"/>
      <c r="O96" s="332"/>
      <c r="P96" s="332"/>
      <c r="Q96" s="332"/>
      <c r="R96" s="332"/>
      <c r="S96" s="332"/>
      <c r="T96" s="332"/>
      <c r="U96" s="332"/>
      <c r="V96" s="332"/>
      <c r="W96" s="332"/>
      <c r="X96" s="332"/>
      <c r="Y96" s="332"/>
      <c r="Z96" s="332"/>
      <c r="AA96" s="332"/>
      <c r="AB96" s="332"/>
      <c r="AC96" s="332"/>
      <c r="AD96" s="332"/>
      <c r="AE96" s="332"/>
      <c r="AF96" s="332"/>
      <c r="AG96" s="332"/>
    </row>
    <row r="97" spans="1:33" ht="13.5" customHeight="1">
      <c r="A97" s="332"/>
      <c r="B97" s="664" t="s">
        <v>680</v>
      </c>
      <c r="C97" s="665">
        <v>3898</v>
      </c>
      <c r="D97" s="332"/>
      <c r="E97" s="666">
        <v>5.907</v>
      </c>
      <c r="F97" s="332"/>
      <c r="G97" s="666">
        <v>2.9999999999999997E-4</v>
      </c>
      <c r="H97" s="332"/>
      <c r="I97" s="666">
        <v>3.0000000000000001E-3</v>
      </c>
      <c r="J97" s="332"/>
      <c r="K97" s="666">
        <v>5.91</v>
      </c>
      <c r="L97" s="332"/>
      <c r="M97" s="332"/>
      <c r="N97" s="332"/>
      <c r="O97" s="332"/>
      <c r="P97" s="332"/>
      <c r="Q97" s="332"/>
      <c r="R97" s="332"/>
      <c r="S97" s="332"/>
      <c r="T97" s="332"/>
      <c r="U97" s="332"/>
      <c r="V97" s="332"/>
      <c r="W97" s="332"/>
      <c r="X97" s="332"/>
      <c r="Y97" s="332"/>
      <c r="Z97" s="332"/>
      <c r="AA97" s="332"/>
      <c r="AB97" s="332"/>
      <c r="AC97" s="332"/>
      <c r="AD97" s="332"/>
      <c r="AE97" s="332"/>
      <c r="AF97" s="332"/>
      <c r="AG97" s="332"/>
    </row>
    <row r="98" spans="1:33" ht="13.5" customHeight="1">
      <c r="A98" s="332"/>
      <c r="B98" s="661" t="s">
        <v>727</v>
      </c>
      <c r="C98" s="662"/>
      <c r="D98" s="332"/>
      <c r="E98" s="663"/>
      <c r="F98" s="332"/>
      <c r="G98" s="663"/>
      <c r="H98" s="332"/>
      <c r="I98" s="663"/>
      <c r="J98" s="332"/>
      <c r="K98" s="663"/>
      <c r="L98" s="332"/>
      <c r="M98" s="332"/>
      <c r="N98" s="332"/>
      <c r="O98" s="332"/>
      <c r="P98" s="332"/>
      <c r="Q98" s="332"/>
      <c r="R98" s="332"/>
      <c r="S98" s="332"/>
      <c r="T98" s="332"/>
      <c r="U98" s="332"/>
      <c r="V98" s="332"/>
      <c r="W98" s="332"/>
      <c r="X98" s="332"/>
      <c r="Y98" s="332"/>
      <c r="Z98" s="332"/>
      <c r="AA98" s="332"/>
      <c r="AB98" s="332"/>
      <c r="AC98" s="332"/>
      <c r="AD98" s="332"/>
      <c r="AE98" s="332"/>
      <c r="AF98" s="332"/>
      <c r="AG98" s="332"/>
    </row>
    <row r="99" spans="1:33" ht="13.5" customHeight="1">
      <c r="A99" s="332"/>
      <c r="B99" s="664" t="s">
        <v>728</v>
      </c>
      <c r="C99" s="667">
        <v>319</v>
      </c>
      <c r="D99" s="332"/>
      <c r="E99" s="666">
        <v>0.12</v>
      </c>
      <c r="F99" s="332"/>
      <c r="G99" s="666">
        <v>5.0000000000000001E-4</v>
      </c>
      <c r="H99" s="332"/>
      <c r="I99" s="666">
        <v>4.0000000000000002E-4</v>
      </c>
      <c r="J99" s="332"/>
      <c r="K99" s="666">
        <v>0.12</v>
      </c>
      <c r="L99" s="332"/>
      <c r="M99" s="332"/>
      <c r="N99" s="332"/>
      <c r="O99" s="332"/>
      <c r="P99" s="332"/>
      <c r="Q99" s="332"/>
      <c r="R99" s="332"/>
      <c r="S99" s="332"/>
      <c r="T99" s="332"/>
      <c r="U99" s="332"/>
      <c r="V99" s="332"/>
      <c r="W99" s="332"/>
      <c r="X99" s="332"/>
      <c r="Y99" s="332"/>
      <c r="Z99" s="332"/>
      <c r="AA99" s="332"/>
      <c r="AB99" s="332"/>
      <c r="AC99" s="332"/>
      <c r="AD99" s="332"/>
      <c r="AE99" s="332"/>
      <c r="AF99" s="332"/>
      <c r="AG99" s="332"/>
    </row>
    <row r="100" spans="1:33" ht="13.5" customHeight="1">
      <c r="A100" s="332"/>
      <c r="B100" s="664" t="s">
        <v>729</v>
      </c>
      <c r="C100" s="665">
        <v>29337</v>
      </c>
      <c r="D100" s="332"/>
      <c r="E100" s="666">
        <v>10.959</v>
      </c>
      <c r="F100" s="332"/>
      <c r="G100" s="666">
        <v>1.78E-2</v>
      </c>
      <c r="H100" s="332"/>
      <c r="I100" s="666">
        <v>0.17219999999999999</v>
      </c>
      <c r="J100" s="332"/>
      <c r="K100" s="666">
        <v>11.15</v>
      </c>
      <c r="L100" s="332"/>
      <c r="M100" s="332"/>
      <c r="N100" s="332"/>
      <c r="O100" s="332"/>
      <c r="P100" s="332"/>
      <c r="Q100" s="332"/>
      <c r="R100" s="332"/>
      <c r="S100" s="332"/>
      <c r="T100" s="332"/>
      <c r="U100" s="332"/>
      <c r="V100" s="332"/>
      <c r="W100" s="332"/>
      <c r="X100" s="332"/>
      <c r="Y100" s="332"/>
      <c r="Z100" s="332"/>
      <c r="AA100" s="332"/>
      <c r="AB100" s="332"/>
      <c r="AC100" s="332"/>
      <c r="AD100" s="332"/>
      <c r="AE100" s="332"/>
      <c r="AF100" s="332"/>
      <c r="AG100" s="332"/>
    </row>
    <row r="101" spans="1:33" ht="13.5" customHeight="1">
      <c r="A101" s="332"/>
      <c r="B101" s="664" t="s">
        <v>730</v>
      </c>
      <c r="C101" s="665">
        <v>18070</v>
      </c>
      <c r="D101" s="332"/>
      <c r="E101" s="666">
        <v>9.4600000000000009</v>
      </c>
      <c r="F101" s="332"/>
      <c r="G101" s="666">
        <v>2.0199999999999999E-2</v>
      </c>
      <c r="H101" s="332"/>
      <c r="I101" s="666">
        <v>0.2571</v>
      </c>
      <c r="J101" s="332"/>
      <c r="K101" s="666">
        <v>9.74</v>
      </c>
      <c r="L101" s="332"/>
      <c r="M101" s="332"/>
      <c r="N101" s="332"/>
      <c r="O101" s="332"/>
      <c r="P101" s="332"/>
      <c r="Q101" s="332"/>
      <c r="R101" s="332"/>
      <c r="S101" s="332"/>
      <c r="T101" s="332"/>
      <c r="U101" s="332"/>
      <c r="V101" s="332"/>
      <c r="W101" s="332"/>
      <c r="X101" s="332"/>
      <c r="Y101" s="332"/>
      <c r="Z101" s="332"/>
      <c r="AA101" s="332"/>
      <c r="AB101" s="332"/>
      <c r="AC101" s="332"/>
      <c r="AD101" s="332"/>
      <c r="AE101" s="332"/>
      <c r="AF101" s="332"/>
      <c r="AG101" s="332"/>
    </row>
    <row r="102" spans="1:33" ht="13.5" customHeight="1">
      <c r="A102" s="332"/>
      <c r="B102" s="664" t="s">
        <v>731</v>
      </c>
      <c r="C102" s="665">
        <v>5833</v>
      </c>
      <c r="D102" s="332"/>
      <c r="E102" s="666">
        <v>3.117</v>
      </c>
      <c r="F102" s="332"/>
      <c r="G102" s="666">
        <v>6.7000000000000002E-3</v>
      </c>
      <c r="H102" s="332"/>
      <c r="I102" s="666">
        <v>8.3299999999999999E-2</v>
      </c>
      <c r="J102" s="332"/>
      <c r="K102" s="666">
        <v>3.21</v>
      </c>
      <c r="L102" s="332"/>
      <c r="M102" s="332"/>
      <c r="N102" s="332"/>
      <c r="O102" s="332"/>
      <c r="P102" s="332"/>
      <c r="Q102" s="332"/>
      <c r="R102" s="332"/>
      <c r="S102" s="332"/>
      <c r="T102" s="332"/>
      <c r="U102" s="332"/>
      <c r="V102" s="332"/>
      <c r="W102" s="332"/>
      <c r="X102" s="332"/>
      <c r="Y102" s="332"/>
      <c r="Z102" s="332"/>
      <c r="AA102" s="332"/>
      <c r="AB102" s="332"/>
      <c r="AC102" s="332"/>
      <c r="AD102" s="332"/>
      <c r="AE102" s="332"/>
      <c r="AF102" s="332"/>
      <c r="AG102" s="332"/>
    </row>
    <row r="103" spans="1:33" ht="13.5" customHeight="1">
      <c r="A103" s="332"/>
      <c r="B103" s="664" t="s">
        <v>732</v>
      </c>
      <c r="C103" s="667">
        <v>15</v>
      </c>
      <c r="D103" s="332"/>
      <c r="E103" s="666">
        <v>2.7E-2</v>
      </c>
      <c r="F103" s="332"/>
      <c r="G103" s="666">
        <v>0</v>
      </c>
      <c r="H103" s="332"/>
      <c r="I103" s="666">
        <v>0</v>
      </c>
      <c r="J103" s="332"/>
      <c r="K103" s="666">
        <v>0.03</v>
      </c>
      <c r="L103" s="332"/>
      <c r="M103" s="332"/>
      <c r="N103" s="332"/>
      <c r="O103" s="332"/>
      <c r="P103" s="332"/>
      <c r="Q103" s="332"/>
      <c r="R103" s="332"/>
      <c r="S103" s="332"/>
      <c r="T103" s="332"/>
      <c r="U103" s="332"/>
      <c r="V103" s="332"/>
      <c r="W103" s="332"/>
      <c r="X103" s="332"/>
      <c r="Y103" s="332"/>
      <c r="Z103" s="332"/>
      <c r="AA103" s="332"/>
      <c r="AB103" s="332"/>
      <c r="AC103" s="332"/>
      <c r="AD103" s="332"/>
      <c r="AE103" s="332"/>
      <c r="AF103" s="332"/>
      <c r="AG103" s="332"/>
    </row>
    <row r="104" spans="1:33" ht="13.5" customHeight="1">
      <c r="A104" s="332"/>
      <c r="B104" s="664" t="s">
        <v>733</v>
      </c>
      <c r="C104" s="667">
        <v>40</v>
      </c>
      <c r="D104" s="332"/>
      <c r="E104" s="666">
        <v>5.1999999999999998E-2</v>
      </c>
      <c r="F104" s="332"/>
      <c r="G104" s="666">
        <v>0</v>
      </c>
      <c r="H104" s="332"/>
      <c r="I104" s="666">
        <v>0</v>
      </c>
      <c r="J104" s="332"/>
      <c r="K104" s="666">
        <v>0.05</v>
      </c>
      <c r="L104" s="332"/>
      <c r="M104" s="332"/>
      <c r="N104" s="332"/>
      <c r="O104" s="332"/>
      <c r="P104" s="332"/>
      <c r="Q104" s="332"/>
      <c r="R104" s="332"/>
      <c r="S104" s="332"/>
      <c r="T104" s="332"/>
      <c r="U104" s="332"/>
      <c r="V104" s="332"/>
      <c r="W104" s="332"/>
      <c r="X104" s="332"/>
      <c r="Y104" s="332"/>
      <c r="Z104" s="332"/>
      <c r="AA104" s="332"/>
      <c r="AB104" s="332"/>
      <c r="AC104" s="332"/>
      <c r="AD104" s="332"/>
      <c r="AE104" s="332"/>
      <c r="AF104" s="332"/>
      <c r="AG104" s="332"/>
    </row>
    <row r="105" spans="1:33" ht="13.5" customHeight="1">
      <c r="A105" s="332"/>
      <c r="B105" s="664" t="s">
        <v>734</v>
      </c>
      <c r="C105" s="667">
        <v>129</v>
      </c>
      <c r="D105" s="332"/>
      <c r="E105" s="666">
        <v>0.124</v>
      </c>
      <c r="F105" s="332"/>
      <c r="G105" s="666">
        <v>2.0000000000000001E-4</v>
      </c>
      <c r="H105" s="332"/>
      <c r="I105" s="666">
        <v>8.0000000000000004E-4</v>
      </c>
      <c r="J105" s="332"/>
      <c r="K105" s="666">
        <v>0.13</v>
      </c>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row>
    <row r="106" spans="1:33" ht="13.5" customHeight="1">
      <c r="A106" s="332"/>
      <c r="B106" s="664" t="s">
        <v>735</v>
      </c>
      <c r="C106" s="667">
        <v>33</v>
      </c>
      <c r="D106" s="332"/>
      <c r="E106" s="666">
        <v>5.6000000000000001E-2</v>
      </c>
      <c r="F106" s="332"/>
      <c r="G106" s="666">
        <v>0</v>
      </c>
      <c r="H106" s="332"/>
      <c r="I106" s="666">
        <v>0</v>
      </c>
      <c r="J106" s="332"/>
      <c r="K106" s="666">
        <v>0.06</v>
      </c>
      <c r="L106" s="332"/>
      <c r="M106" s="332"/>
      <c r="N106" s="332"/>
      <c r="O106" s="332"/>
      <c r="P106" s="332"/>
      <c r="Q106" s="332"/>
      <c r="R106" s="332"/>
      <c r="S106" s="332"/>
      <c r="T106" s="332"/>
      <c r="U106" s="332"/>
      <c r="V106" s="332"/>
      <c r="W106" s="332"/>
      <c r="X106" s="332"/>
      <c r="Y106" s="332"/>
      <c r="Z106" s="332"/>
      <c r="AA106" s="332"/>
      <c r="AB106" s="332"/>
      <c r="AC106" s="332"/>
      <c r="AD106" s="332"/>
      <c r="AE106" s="332"/>
      <c r="AF106" s="332"/>
      <c r="AG106" s="332"/>
    </row>
    <row r="107" spans="1:33" ht="13.5" customHeight="1">
      <c r="A107" s="332"/>
      <c r="B107" s="664" t="s">
        <v>736</v>
      </c>
      <c r="C107" s="667">
        <v>655</v>
      </c>
      <c r="D107" s="332"/>
      <c r="E107" s="666">
        <v>0.65600000000000003</v>
      </c>
      <c r="F107" s="332"/>
      <c r="G107" s="666">
        <v>8.0000000000000004E-4</v>
      </c>
      <c r="H107" s="332"/>
      <c r="I107" s="666">
        <v>5.4000000000000003E-3</v>
      </c>
      <c r="J107" s="332"/>
      <c r="K107" s="666">
        <v>0.66</v>
      </c>
      <c r="L107" s="332"/>
      <c r="M107" s="332"/>
      <c r="N107" s="332"/>
      <c r="O107" s="332"/>
      <c r="P107" s="332"/>
      <c r="Q107" s="332"/>
      <c r="R107" s="332"/>
      <c r="S107" s="332"/>
      <c r="T107" s="332"/>
      <c r="U107" s="332"/>
      <c r="V107" s="332"/>
      <c r="W107" s="332"/>
      <c r="X107" s="332"/>
      <c r="Y107" s="332"/>
      <c r="Z107" s="332"/>
      <c r="AA107" s="332"/>
      <c r="AB107" s="332"/>
      <c r="AC107" s="332"/>
      <c r="AD107" s="332"/>
      <c r="AE107" s="332"/>
      <c r="AF107" s="332"/>
      <c r="AG107" s="332"/>
    </row>
    <row r="108" spans="1:33" ht="13.5" customHeight="1">
      <c r="A108" s="332"/>
      <c r="B108" s="664" t="s">
        <v>737</v>
      </c>
      <c r="C108" s="667">
        <v>49</v>
      </c>
      <c r="D108" s="332"/>
      <c r="E108" s="666">
        <v>4.7E-2</v>
      </c>
      <c r="F108" s="332"/>
      <c r="G108" s="666">
        <v>0</v>
      </c>
      <c r="H108" s="332"/>
      <c r="I108" s="666">
        <v>2.9999999999999997E-4</v>
      </c>
      <c r="J108" s="332"/>
      <c r="K108" s="666">
        <v>0.05</v>
      </c>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row>
    <row r="109" spans="1:33" ht="13.5" customHeight="1">
      <c r="A109" s="332"/>
      <c r="B109" s="664" t="s">
        <v>738</v>
      </c>
      <c r="C109" s="667">
        <v>20</v>
      </c>
      <c r="D109" s="332"/>
      <c r="E109" s="666">
        <v>2.1000000000000001E-2</v>
      </c>
      <c r="F109" s="332"/>
      <c r="G109" s="666">
        <v>0</v>
      </c>
      <c r="H109" s="332"/>
      <c r="I109" s="666">
        <v>2.0000000000000001E-4</v>
      </c>
      <c r="J109" s="332"/>
      <c r="K109" s="666">
        <v>0.02</v>
      </c>
      <c r="L109" s="332"/>
      <c r="M109" s="332"/>
      <c r="N109" s="332"/>
      <c r="O109" s="332"/>
      <c r="P109" s="332"/>
      <c r="Q109" s="332"/>
      <c r="R109" s="332"/>
      <c r="S109" s="332"/>
      <c r="T109" s="332"/>
      <c r="U109" s="332"/>
      <c r="V109" s="332"/>
      <c r="W109" s="332"/>
      <c r="X109" s="332"/>
      <c r="Y109" s="332"/>
      <c r="Z109" s="332"/>
      <c r="AA109" s="332"/>
      <c r="AB109" s="332"/>
      <c r="AC109" s="332"/>
      <c r="AD109" s="332"/>
      <c r="AE109" s="332"/>
      <c r="AF109" s="332"/>
      <c r="AG109" s="332"/>
    </row>
    <row r="110" spans="1:33" ht="13.5" customHeight="1">
      <c r="A110" s="332"/>
      <c r="B110" s="664" t="s">
        <v>739</v>
      </c>
      <c r="C110" s="665">
        <v>1163</v>
      </c>
      <c r="D110" s="332"/>
      <c r="E110" s="666">
        <v>2.339</v>
      </c>
      <c r="F110" s="332"/>
      <c r="G110" s="666">
        <v>1E-4</v>
      </c>
      <c r="H110" s="332"/>
      <c r="I110" s="666">
        <v>8.0000000000000004E-4</v>
      </c>
      <c r="J110" s="332"/>
      <c r="K110" s="666">
        <v>2.34</v>
      </c>
      <c r="L110" s="332"/>
      <c r="M110" s="332"/>
      <c r="N110" s="332"/>
      <c r="O110" s="332"/>
      <c r="P110" s="332"/>
      <c r="Q110" s="332"/>
      <c r="R110" s="332"/>
      <c r="S110" s="332"/>
      <c r="T110" s="332"/>
      <c r="U110" s="332"/>
      <c r="V110" s="332"/>
      <c r="W110" s="332"/>
      <c r="X110" s="332"/>
      <c r="Y110" s="332"/>
      <c r="Z110" s="332"/>
      <c r="AA110" s="332"/>
      <c r="AB110" s="332"/>
      <c r="AC110" s="332"/>
      <c r="AD110" s="332"/>
      <c r="AE110" s="332"/>
      <c r="AF110" s="332"/>
      <c r="AG110" s="332"/>
    </row>
    <row r="111" spans="1:33" ht="13.5" customHeight="1">
      <c r="A111" s="332"/>
      <c r="B111" s="664" t="s">
        <v>740</v>
      </c>
      <c r="C111" s="667">
        <v>953</v>
      </c>
      <c r="D111" s="332"/>
      <c r="E111" s="668">
        <v>2.1230000000000002</v>
      </c>
      <c r="F111" s="332"/>
      <c r="G111" s="668">
        <v>1E-4</v>
      </c>
      <c r="H111" s="332"/>
      <c r="I111" s="668">
        <v>5.9999999999999995E-4</v>
      </c>
      <c r="J111" s="332"/>
      <c r="K111" s="668">
        <v>2.12</v>
      </c>
      <c r="L111" s="332"/>
      <c r="M111" s="332"/>
      <c r="N111" s="332"/>
      <c r="O111" s="332"/>
      <c r="P111" s="332"/>
      <c r="Q111" s="332"/>
      <c r="R111" s="332"/>
      <c r="S111" s="332"/>
      <c r="T111" s="332"/>
      <c r="U111" s="332"/>
      <c r="V111" s="332"/>
      <c r="W111" s="332"/>
      <c r="X111" s="332"/>
      <c r="Y111" s="332"/>
      <c r="Z111" s="332"/>
      <c r="AA111" s="332"/>
      <c r="AB111" s="332"/>
      <c r="AC111" s="332"/>
      <c r="AD111" s="332"/>
      <c r="AE111" s="332"/>
      <c r="AF111" s="332"/>
      <c r="AG111" s="332"/>
    </row>
    <row r="112" spans="1:33" ht="12.75" customHeight="1">
      <c r="A112" s="332"/>
      <c r="B112" s="332"/>
      <c r="C112" s="332"/>
      <c r="D112" s="332"/>
      <c r="E112" s="332"/>
      <c r="F112" s="332"/>
      <c r="G112" s="332"/>
      <c r="H112" s="332"/>
      <c r="I112" s="332"/>
      <c r="J112" s="332"/>
      <c r="K112" s="332"/>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row>
    <row r="113" spans="1:33" ht="13.5" customHeight="1">
      <c r="A113" s="332"/>
      <c r="B113" s="332"/>
      <c r="C113" s="332"/>
      <c r="D113" s="332"/>
      <c r="E113" s="332"/>
      <c r="F113" s="332"/>
      <c r="G113" s="332"/>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row>
    <row r="114" spans="1:33" ht="17.25" customHeight="1">
      <c r="A114" s="669"/>
      <c r="B114" s="1685" t="s">
        <v>741</v>
      </c>
      <c r="C114" s="1685" t="s">
        <v>238</v>
      </c>
      <c r="D114" s="669"/>
      <c r="E114" s="1702" t="s">
        <v>742</v>
      </c>
      <c r="F114" s="1672"/>
      <c r="G114" s="1692"/>
      <c r="H114" s="669"/>
      <c r="I114" s="1685" t="s">
        <v>743</v>
      </c>
      <c r="J114" s="669"/>
      <c r="K114" s="669"/>
      <c r="L114" s="669"/>
      <c r="M114" s="669"/>
      <c r="N114" s="669"/>
      <c r="O114" s="669"/>
      <c r="P114" s="669"/>
      <c r="Q114" s="669"/>
      <c r="R114" s="669"/>
      <c r="S114" s="669"/>
      <c r="T114" s="669"/>
      <c r="U114" s="669"/>
      <c r="V114" s="669"/>
      <c r="W114" s="669"/>
      <c r="X114" s="669"/>
      <c r="Y114" s="669"/>
      <c r="Z114" s="669"/>
      <c r="AA114" s="669"/>
      <c r="AB114" s="669"/>
      <c r="AC114" s="669"/>
      <c r="AD114" s="669"/>
      <c r="AE114" s="669"/>
      <c r="AF114" s="669"/>
      <c r="AG114" s="669"/>
    </row>
    <row r="115" spans="1:33" ht="41.25" customHeight="1">
      <c r="A115" s="332"/>
      <c r="B115" s="1686"/>
      <c r="C115" s="1686"/>
      <c r="D115" s="332"/>
      <c r="E115" s="670" t="s">
        <v>744</v>
      </c>
      <c r="F115" s="332"/>
      <c r="G115" s="670" t="s">
        <v>745</v>
      </c>
      <c r="H115" s="332"/>
      <c r="I115" s="1686"/>
      <c r="J115" s="332"/>
      <c r="K115" s="332"/>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row>
    <row r="116" spans="1:33" ht="13.5" customHeight="1">
      <c r="A116" s="332"/>
      <c r="B116" s="1687">
        <v>2006</v>
      </c>
      <c r="C116" s="671" t="s">
        <v>653</v>
      </c>
      <c r="D116" s="332"/>
      <c r="E116" s="672">
        <v>305.89999999999998</v>
      </c>
      <c r="F116" s="332"/>
      <c r="G116" s="673">
        <v>2462240</v>
      </c>
      <c r="H116" s="332"/>
      <c r="I116" s="674">
        <v>2642371</v>
      </c>
      <c r="J116" s="332"/>
      <c r="K116" s="332"/>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row>
    <row r="117" spans="1:33" ht="13.5" customHeight="1">
      <c r="A117" s="332"/>
      <c r="B117" s="1686"/>
      <c r="C117" s="671" t="s">
        <v>680</v>
      </c>
      <c r="D117" s="332"/>
      <c r="E117" s="672">
        <v>76.3</v>
      </c>
      <c r="F117" s="332"/>
      <c r="G117" s="673">
        <v>550454</v>
      </c>
      <c r="H117" s="332"/>
      <c r="I117" s="675">
        <v>558703</v>
      </c>
      <c r="J117" s="332"/>
      <c r="K117" s="332"/>
      <c r="L117" s="332"/>
      <c r="M117" s="332"/>
      <c r="N117" s="332"/>
      <c r="O117" s="332"/>
      <c r="P117" s="332"/>
      <c r="Q117" s="332"/>
      <c r="R117" s="332"/>
      <c r="S117" s="332"/>
      <c r="T117" s="332"/>
      <c r="U117" s="332"/>
      <c r="V117" s="332"/>
      <c r="W117" s="332"/>
      <c r="X117" s="332"/>
      <c r="Y117" s="332"/>
      <c r="Z117" s="332"/>
      <c r="AA117" s="332"/>
      <c r="AB117" s="332"/>
      <c r="AC117" s="332"/>
      <c r="AD117" s="332"/>
      <c r="AE117" s="332"/>
      <c r="AF117" s="332"/>
      <c r="AG117" s="332"/>
    </row>
    <row r="118" spans="1:33" ht="13.5" customHeight="1">
      <c r="A118" s="332"/>
      <c r="B118" s="1687" t="s">
        <v>746</v>
      </c>
      <c r="C118" s="671" t="s">
        <v>653</v>
      </c>
      <c r="D118" s="332"/>
      <c r="E118" s="672">
        <v>402.3</v>
      </c>
      <c r="F118" s="332"/>
      <c r="G118" s="673">
        <v>3237943</v>
      </c>
      <c r="H118" s="332"/>
      <c r="I118" s="672" t="s">
        <v>747</v>
      </c>
      <c r="J118" s="332"/>
      <c r="K118" s="332"/>
      <c r="L118" s="332"/>
      <c r="M118" s="332"/>
      <c r="N118" s="332"/>
      <c r="O118" s="332"/>
      <c r="P118" s="332"/>
      <c r="Q118" s="332"/>
      <c r="R118" s="332"/>
      <c r="S118" s="332"/>
      <c r="T118" s="332"/>
      <c r="U118" s="332"/>
      <c r="V118" s="332"/>
      <c r="W118" s="332"/>
      <c r="X118" s="332"/>
      <c r="Y118" s="332"/>
      <c r="Z118" s="332"/>
      <c r="AA118" s="332"/>
      <c r="AB118" s="332"/>
      <c r="AC118" s="332"/>
      <c r="AD118" s="332"/>
      <c r="AE118" s="332"/>
      <c r="AF118" s="332"/>
      <c r="AG118" s="332"/>
    </row>
    <row r="119" spans="1:33" ht="13.5" customHeight="1">
      <c r="A119" s="332"/>
      <c r="B119" s="1686"/>
      <c r="C119" s="671" t="s">
        <v>680</v>
      </c>
      <c r="D119" s="332"/>
      <c r="E119" s="672">
        <v>101.6</v>
      </c>
      <c r="F119" s="332"/>
      <c r="G119" s="673">
        <v>732275</v>
      </c>
      <c r="H119" s="332"/>
      <c r="I119" s="672" t="s">
        <v>747</v>
      </c>
      <c r="J119" s="332"/>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row>
    <row r="120" spans="1:33" ht="11.25" customHeight="1"/>
    <row r="121" spans="1:33" ht="11.25" customHeight="1"/>
    <row r="122" spans="1:33" ht="11.25" customHeight="1"/>
    <row r="123" spans="1:33" ht="11.25" customHeight="1"/>
    <row r="124" spans="1:33" ht="11.25" customHeight="1"/>
    <row r="125" spans="1:33" ht="11.25" customHeight="1"/>
    <row r="126" spans="1:33" ht="11.25" customHeight="1"/>
    <row r="127" spans="1:33" ht="11.25" customHeight="1"/>
    <row r="128" spans="1:33"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3">
    <mergeCell ref="A2:K2"/>
    <mergeCell ref="D18:E18"/>
    <mergeCell ref="F18:G18"/>
    <mergeCell ref="D19:E19"/>
    <mergeCell ref="F19:G19"/>
    <mergeCell ref="D20:E20"/>
    <mergeCell ref="F20:G20"/>
    <mergeCell ref="F25:G25"/>
    <mergeCell ref="F26:G26"/>
    <mergeCell ref="S31:T31"/>
    <mergeCell ref="D21:E21"/>
    <mergeCell ref="F21:G21"/>
    <mergeCell ref="D22:E22"/>
    <mergeCell ref="F22:G22"/>
    <mergeCell ref="D23:E23"/>
    <mergeCell ref="F23:G23"/>
    <mergeCell ref="F24:G24"/>
    <mergeCell ref="D24:E24"/>
    <mergeCell ref="D25:E25"/>
    <mergeCell ref="D26:E26"/>
    <mergeCell ref="B29:F29"/>
    <mergeCell ref="D31:E31"/>
    <mergeCell ref="F31:G31"/>
    <mergeCell ref="F32:G32"/>
    <mergeCell ref="D32:E32"/>
    <mergeCell ref="D33:E33"/>
    <mergeCell ref="F33:G33"/>
    <mergeCell ref="D34:E34"/>
    <mergeCell ref="F34:G34"/>
    <mergeCell ref="D35:E35"/>
    <mergeCell ref="F35:G35"/>
    <mergeCell ref="D36:E36"/>
    <mergeCell ref="F36:G36"/>
    <mergeCell ref="D37:E37"/>
    <mergeCell ref="F37:G37"/>
    <mergeCell ref="D38:E38"/>
    <mergeCell ref="F38:G38"/>
    <mergeCell ref="F39:G39"/>
    <mergeCell ref="I114:I115"/>
    <mergeCell ref="B116:B117"/>
    <mergeCell ref="B118:B119"/>
    <mergeCell ref="D39:E39"/>
    <mergeCell ref="D42:E42"/>
    <mergeCell ref="F42:H42"/>
    <mergeCell ref="D43:E43"/>
    <mergeCell ref="F43:H43"/>
    <mergeCell ref="D44:E44"/>
    <mergeCell ref="F45:H45"/>
    <mergeCell ref="D45:E45"/>
    <mergeCell ref="D49:E49"/>
    <mergeCell ref="B114:B115"/>
    <mergeCell ref="C114:C115"/>
    <mergeCell ref="E114:G114"/>
  </mergeCells>
  <pageMargins left="0.7" right="0.7" top="0.75" bottom="0.75" header="0" footer="0"/>
  <pageSetup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1000"/>
  <sheetViews>
    <sheetView workbookViewId="0"/>
  </sheetViews>
  <sheetFormatPr defaultColWidth="16.85546875" defaultRowHeight="15" customHeight="1"/>
  <cols>
    <col min="1" max="1" width="3.7109375" customWidth="1"/>
    <col min="2" max="2" width="30.28515625" customWidth="1"/>
    <col min="3" max="3" width="17.140625" customWidth="1"/>
    <col min="4" max="4" width="21.7109375" customWidth="1"/>
    <col min="5" max="5" width="18.140625" customWidth="1"/>
    <col min="6" max="6" width="17.85546875" customWidth="1"/>
    <col min="7" max="7" width="18.85546875" customWidth="1"/>
    <col min="8" max="9" width="18" customWidth="1"/>
    <col min="11" max="11" width="20.140625" customWidth="1"/>
    <col min="12" max="12" width="8" customWidth="1"/>
  </cols>
  <sheetData>
    <row r="1" spans="1:12" ht="33" customHeight="1">
      <c r="A1" s="17" t="s">
        <v>1032</v>
      </c>
      <c r="B1" s="171"/>
      <c r="E1" s="13"/>
      <c r="G1" s="14"/>
      <c r="H1" s="14"/>
    </row>
    <row r="2" spans="1:12" ht="171.75" customHeight="1">
      <c r="A2" s="17"/>
    </row>
    <row r="3" spans="1:12" ht="14.25" customHeight="1">
      <c r="B3" s="15"/>
      <c r="C3" s="59"/>
      <c r="D3" s="59"/>
      <c r="E3" s="1100"/>
      <c r="F3" s="59"/>
      <c r="G3" s="1100"/>
      <c r="H3" s="1101"/>
      <c r="I3" s="1102"/>
      <c r="J3" s="1103"/>
      <c r="K3" s="59"/>
    </row>
    <row r="4" spans="1:12" ht="21" customHeight="1">
      <c r="B4" s="1104" t="s">
        <v>1033</v>
      </c>
      <c r="C4" s="1105"/>
      <c r="D4" s="1104">
        <v>2006</v>
      </c>
      <c r="E4" s="1106"/>
      <c r="F4" s="1105"/>
      <c r="G4" s="1100"/>
      <c r="H4" s="59"/>
      <c r="I4" s="59"/>
      <c r="J4" s="59"/>
      <c r="K4" s="59"/>
      <c r="L4" s="14"/>
    </row>
    <row r="5" spans="1:12" ht="13.5" customHeight="1">
      <c r="B5" s="59"/>
      <c r="C5" s="59"/>
      <c r="D5" s="59"/>
      <c r="E5" s="1100"/>
      <c r="F5" s="59"/>
      <c r="G5" s="1100"/>
      <c r="H5" s="59"/>
      <c r="I5" s="59"/>
      <c r="J5" s="59"/>
      <c r="K5" s="59"/>
    </row>
    <row r="6" spans="1:12" ht="15" customHeight="1">
      <c r="B6" s="1107"/>
      <c r="C6" s="1108" t="s">
        <v>1034</v>
      </c>
      <c r="D6" s="1108" t="s">
        <v>451</v>
      </c>
      <c r="E6" s="1108" t="s">
        <v>1035</v>
      </c>
      <c r="F6" s="1109" t="s">
        <v>1036</v>
      </c>
      <c r="G6" s="1100"/>
      <c r="I6" s="1100"/>
      <c r="K6" s="59"/>
    </row>
    <row r="7" spans="1:12" ht="25.5" customHeight="1">
      <c r="B7" s="1110"/>
      <c r="C7" s="59"/>
      <c r="D7" s="1111" t="s">
        <v>1037</v>
      </c>
      <c r="E7" s="59"/>
      <c r="F7" s="1112"/>
      <c r="G7" s="1100"/>
      <c r="I7" s="1100"/>
      <c r="K7" s="59"/>
    </row>
    <row r="8" spans="1:12" ht="12.75" customHeight="1">
      <c r="B8" s="1113" t="s">
        <v>1038</v>
      </c>
      <c r="C8" s="65">
        <v>7</v>
      </c>
      <c r="D8" s="1114">
        <v>4.1021717966689701</v>
      </c>
      <c r="E8" s="65">
        <f>C8*D8</f>
        <v>28.715202576682792</v>
      </c>
      <c r="F8" s="1115">
        <f t="shared" ref="F8:F9" si="0">E8*$I$25/1000000</f>
        <v>8.0402567214711812E-4</v>
      </c>
      <c r="G8" s="1100"/>
      <c r="I8" s="1102"/>
      <c r="K8" s="59"/>
    </row>
    <row r="9" spans="1:12" ht="25.5" customHeight="1">
      <c r="B9" s="1113" t="s">
        <v>1039</v>
      </c>
      <c r="C9" s="65">
        <v>0</v>
      </c>
      <c r="D9" s="1114">
        <v>13.055796863999998</v>
      </c>
      <c r="E9" s="65">
        <v>0</v>
      </c>
      <c r="F9" s="1115">
        <f t="shared" si="0"/>
        <v>0</v>
      </c>
      <c r="G9" s="1100"/>
      <c r="I9" s="1102"/>
      <c r="K9" s="59"/>
    </row>
    <row r="10" spans="1:12" ht="14.25" customHeight="1">
      <c r="B10" s="1116" t="s">
        <v>1040</v>
      </c>
      <c r="C10" s="1117"/>
      <c r="D10" s="1118"/>
      <c r="E10" s="1119">
        <v>21.095017507998922</v>
      </c>
      <c r="F10" s="1120">
        <f>F8+F9</f>
        <v>8.0402567214711812E-4</v>
      </c>
      <c r="G10" s="1100"/>
      <c r="I10" s="1102"/>
      <c r="K10" s="59"/>
    </row>
    <row r="11" spans="1:12" ht="12" customHeight="1">
      <c r="B11" s="217"/>
      <c r="C11" s="218"/>
      <c r="D11" s="218"/>
      <c r="E11" s="218"/>
      <c r="F11" s="219"/>
    </row>
    <row r="12" spans="1:12" ht="12" customHeight="1">
      <c r="B12" s="14"/>
      <c r="C12" s="14"/>
      <c r="D12" s="14"/>
      <c r="E12" s="14"/>
      <c r="F12" s="14"/>
    </row>
    <row r="13" spans="1:12" ht="11.25" customHeight="1">
      <c r="B13" s="14" t="s">
        <v>1041</v>
      </c>
      <c r="C13" s="14"/>
      <c r="D13" s="14"/>
      <c r="E13" s="14"/>
      <c r="F13" s="14"/>
    </row>
    <row r="14" spans="1:12" ht="11.25" customHeight="1">
      <c r="B14" s="14"/>
      <c r="C14" s="14"/>
      <c r="D14" s="14"/>
      <c r="E14" s="14"/>
      <c r="F14" s="14"/>
    </row>
    <row r="15" spans="1:12" ht="11.25" customHeight="1">
      <c r="B15" s="1719" t="s">
        <v>1042</v>
      </c>
      <c r="C15" s="1660"/>
      <c r="D15" s="1660"/>
      <c r="E15" s="1660"/>
      <c r="F15" s="1660"/>
      <c r="G15" s="1660"/>
      <c r="H15" s="1660"/>
      <c r="I15" s="1660"/>
    </row>
    <row r="16" spans="1:12" ht="11.25" customHeight="1">
      <c r="B16" s="14"/>
      <c r="C16" s="14"/>
      <c r="D16" s="14"/>
      <c r="E16" s="14"/>
      <c r="F16" s="14"/>
    </row>
    <row r="17" spans="2:9" ht="11.25" customHeight="1">
      <c r="B17" s="14"/>
      <c r="C17" s="14"/>
      <c r="D17" s="14"/>
      <c r="E17" s="14"/>
      <c r="F17" s="14"/>
    </row>
    <row r="18" spans="2:9" ht="11.25" customHeight="1"/>
    <row r="19" spans="2:9" ht="11.25" customHeight="1"/>
    <row r="20" spans="2:9" ht="21" customHeight="1">
      <c r="B20" s="1121" t="s">
        <v>1043</v>
      </c>
      <c r="C20" s="1121"/>
      <c r="D20" s="1122"/>
      <c r="E20" s="1122"/>
      <c r="F20" s="1122"/>
    </row>
    <row r="21" spans="2:9" ht="12" customHeight="1">
      <c r="C21" s="1719"/>
      <c r="D21" s="1660"/>
      <c r="E21" s="1660"/>
      <c r="F21" s="1660"/>
    </row>
    <row r="22" spans="2:9" ht="12" customHeight="1">
      <c r="B22" s="1123"/>
      <c r="C22" s="690" t="s">
        <v>1034</v>
      </c>
      <c r="D22" s="690" t="s">
        <v>451</v>
      </c>
      <c r="E22" s="690" t="s">
        <v>1044</v>
      </c>
      <c r="F22" s="691" t="s">
        <v>1045</v>
      </c>
      <c r="G22" s="307"/>
      <c r="H22" s="1663" t="s">
        <v>1</v>
      </c>
      <c r="I22" s="1664"/>
    </row>
    <row r="23" spans="2:9" ht="18.75" customHeight="1">
      <c r="B23" s="1124" t="s">
        <v>1046</v>
      </c>
      <c r="C23" s="1125"/>
      <c r="D23" s="1126" t="s">
        <v>1047</v>
      </c>
      <c r="E23" s="1127"/>
      <c r="F23" s="1128"/>
      <c r="G23" s="1127"/>
      <c r="H23" s="25"/>
      <c r="I23" s="25"/>
    </row>
    <row r="24" spans="2:9" ht="11.25" customHeight="1">
      <c r="B24" s="1124"/>
      <c r="C24" s="1125"/>
      <c r="D24" s="1125"/>
      <c r="E24" s="1129"/>
      <c r="F24" s="1130"/>
      <c r="G24" s="1129"/>
      <c r="H24" s="26" t="s">
        <v>60</v>
      </c>
      <c r="I24" s="27">
        <f>Summary!$E4</f>
        <v>1</v>
      </c>
    </row>
    <row r="25" spans="2:9" ht="11.25" customHeight="1">
      <c r="B25" s="1131" t="s">
        <v>1048</v>
      </c>
      <c r="C25" s="1132">
        <v>1467</v>
      </c>
      <c r="D25" s="1133">
        <v>5.8037235656204409</v>
      </c>
      <c r="E25" s="1134">
        <f t="shared" ref="E25:E28" si="1">C25*D25</f>
        <v>8514.0624707651859</v>
      </c>
      <c r="F25" s="1135">
        <f t="shared" ref="F25:F28" si="2">E25*$I$25/1000000</f>
        <v>0.2383937491814252</v>
      </c>
      <c r="G25" s="1136"/>
      <c r="H25" s="26" t="s">
        <v>62</v>
      </c>
      <c r="I25" s="27">
        <f>Summary!$E5</f>
        <v>28</v>
      </c>
    </row>
    <row r="26" spans="2:9" ht="18" customHeight="1">
      <c r="B26" s="1131" t="s">
        <v>1049</v>
      </c>
      <c r="C26" s="1132">
        <v>602</v>
      </c>
      <c r="D26" s="1133">
        <v>2.1221753994811778</v>
      </c>
      <c r="E26" s="1132">
        <f t="shared" si="1"/>
        <v>1277.5495904876691</v>
      </c>
      <c r="F26" s="1135">
        <f t="shared" si="2"/>
        <v>3.5771388533654733E-2</v>
      </c>
      <c r="G26" s="1136"/>
      <c r="H26" s="26" t="s">
        <v>63</v>
      </c>
      <c r="I26" s="27">
        <f>Summary!$E6</f>
        <v>265</v>
      </c>
    </row>
    <row r="27" spans="2:9" ht="18" customHeight="1">
      <c r="B27" s="1131" t="s">
        <v>1050</v>
      </c>
      <c r="C27" s="1132">
        <v>5402</v>
      </c>
      <c r="D27" s="1133">
        <v>6.0046884276387047E-2</v>
      </c>
      <c r="E27" s="1132">
        <f t="shared" si="1"/>
        <v>324.37326886104285</v>
      </c>
      <c r="F27" s="1135">
        <f t="shared" si="2"/>
        <v>9.0824515281091988E-3</v>
      </c>
      <c r="G27" s="1136"/>
      <c r="H27" s="26" t="s">
        <v>65</v>
      </c>
      <c r="I27" s="29">
        <f>Summary!$E7</f>
        <v>23500</v>
      </c>
    </row>
    <row r="28" spans="2:9" ht="11.25" customHeight="1">
      <c r="B28" s="1131" t="s">
        <v>1051</v>
      </c>
      <c r="C28" s="1132">
        <v>6309</v>
      </c>
      <c r="D28" s="1133">
        <v>0.37164760100393374</v>
      </c>
      <c r="E28" s="1132">
        <f t="shared" si="1"/>
        <v>2344.724714733818</v>
      </c>
      <c r="F28" s="1135">
        <f t="shared" si="2"/>
        <v>6.5652292012546909E-2</v>
      </c>
      <c r="G28" s="1136"/>
      <c r="H28" s="26"/>
      <c r="I28" s="29"/>
    </row>
    <row r="29" spans="2:9" ht="11.25" customHeight="1">
      <c r="B29" s="736"/>
      <c r="C29" s="1137"/>
      <c r="D29" s="1138"/>
      <c r="E29" s="1137"/>
      <c r="F29" s="1139"/>
      <c r="G29" s="1136"/>
    </row>
    <row r="30" spans="2:9" ht="11.25" customHeight="1">
      <c r="B30" s="1124" t="s">
        <v>1052</v>
      </c>
      <c r="C30" s="1137"/>
      <c r="D30" s="1138"/>
      <c r="E30" s="1137"/>
      <c r="F30" s="1139"/>
      <c r="G30" s="1136"/>
    </row>
    <row r="31" spans="2:9" ht="11.25" customHeight="1">
      <c r="B31" s="1131" t="s">
        <v>1053</v>
      </c>
      <c r="C31" s="1132">
        <v>964468</v>
      </c>
      <c r="D31" s="1133">
        <v>1.5267140136098032E-2</v>
      </c>
      <c r="E31" s="1132">
        <f t="shared" ref="E31:E33" si="3">C31*D31</f>
        <v>14724.668112782198</v>
      </c>
      <c r="F31" s="1135">
        <f t="shared" ref="F31:F33" si="4">E31*$I$25/1000000</f>
        <v>0.41229070715790156</v>
      </c>
      <c r="G31" s="1136"/>
    </row>
    <row r="32" spans="2:9" ht="11.25" customHeight="1">
      <c r="B32" s="1131" t="s">
        <v>1054</v>
      </c>
      <c r="C32" s="1132">
        <v>111375</v>
      </c>
      <c r="D32" s="1133">
        <v>3.2750300015441415E-2</v>
      </c>
      <c r="E32" s="1132">
        <f t="shared" si="3"/>
        <v>3647.5646642197876</v>
      </c>
      <c r="F32" s="1135">
        <f t="shared" si="4"/>
        <v>0.10213181059815406</v>
      </c>
      <c r="G32" s="1136"/>
    </row>
    <row r="33" spans="2:10" ht="11.25" customHeight="1">
      <c r="B33" s="1131" t="s">
        <v>1055</v>
      </c>
      <c r="C33" s="1132">
        <v>179097</v>
      </c>
      <c r="D33" s="1133">
        <v>3.4007868318860182E-3</v>
      </c>
      <c r="E33" s="1132">
        <f t="shared" si="3"/>
        <v>609.07071923029025</v>
      </c>
      <c r="F33" s="1135">
        <f t="shared" si="4"/>
        <v>1.7053980138448124E-2</v>
      </c>
      <c r="G33" s="1136"/>
    </row>
    <row r="34" spans="2:10" ht="12" customHeight="1">
      <c r="B34" s="1140" t="s">
        <v>1040</v>
      </c>
      <c r="C34" s="1141"/>
      <c r="D34" s="1141"/>
      <c r="E34" s="1142">
        <f t="shared" ref="E34:F34" si="5">SUM(E25:E33)</f>
        <v>31442.013541079992</v>
      </c>
      <c r="F34" s="1143">
        <f t="shared" si="5"/>
        <v>0.88037637915023981</v>
      </c>
      <c r="G34" s="1144"/>
    </row>
    <row r="35" spans="2:10" ht="12" customHeight="1"/>
    <row r="36" spans="2:10" ht="11.25" customHeight="1">
      <c r="B36" s="1719" t="s">
        <v>1056</v>
      </c>
      <c r="C36" s="1660"/>
      <c r="D36" s="1660"/>
      <c r="E36" s="1660"/>
      <c r="F36" s="1660"/>
      <c r="G36" s="1660"/>
      <c r="H36" s="1660"/>
      <c r="I36" s="1660"/>
    </row>
    <row r="37" spans="2:10" ht="11.25" customHeight="1">
      <c r="B37" s="922"/>
      <c r="C37" s="922"/>
      <c r="D37" s="922"/>
      <c r="E37" s="922"/>
      <c r="F37" s="922"/>
      <c r="G37" s="922"/>
      <c r="H37" s="922"/>
      <c r="I37" s="922"/>
    </row>
    <row r="38" spans="2:10" ht="11.25" customHeight="1">
      <c r="B38" s="1719" t="s">
        <v>1057</v>
      </c>
      <c r="C38" s="1660"/>
      <c r="D38" s="1660"/>
      <c r="E38" s="1660"/>
      <c r="F38" s="1660"/>
      <c r="G38" s="1660"/>
      <c r="H38" s="1660"/>
      <c r="I38" s="1660"/>
    </row>
    <row r="39" spans="2:10" ht="11.25" customHeight="1"/>
    <row r="40" spans="2:10" ht="11.25" customHeight="1"/>
    <row r="41" spans="2:10" ht="11.25" customHeight="1"/>
    <row r="42" spans="2:10" ht="11.25" customHeight="1"/>
    <row r="43" spans="2:10" ht="21" customHeight="1">
      <c r="B43" s="1145" t="s">
        <v>1058</v>
      </c>
      <c r="C43" s="1145"/>
      <c r="D43" s="1145"/>
      <c r="E43" s="1146"/>
      <c r="F43" s="1147"/>
      <c r="G43" s="1100"/>
      <c r="H43" s="59"/>
      <c r="I43" s="59"/>
      <c r="J43" s="59"/>
    </row>
    <row r="44" spans="2:10" ht="13.5" customHeight="1">
      <c r="B44" s="59"/>
      <c r="C44" s="59"/>
      <c r="D44" s="59"/>
      <c r="E44" s="1100"/>
      <c r="F44" s="59"/>
      <c r="G44" s="1100"/>
      <c r="H44" s="59"/>
      <c r="I44" s="59"/>
      <c r="J44" s="59"/>
    </row>
    <row r="45" spans="2:10" ht="15" customHeight="1">
      <c r="B45" s="1107"/>
      <c r="C45" s="1108" t="s">
        <v>1034</v>
      </c>
      <c r="D45" s="1148" t="s">
        <v>451</v>
      </c>
      <c r="E45" s="1108" t="s">
        <v>1059</v>
      </c>
      <c r="F45" s="1109" t="s">
        <v>1060</v>
      </c>
      <c r="G45" s="1100"/>
      <c r="I45" s="1100"/>
    </row>
    <row r="46" spans="2:10" ht="12.75" customHeight="1">
      <c r="B46" s="1110"/>
      <c r="C46" s="59"/>
      <c r="D46" s="1718" t="s">
        <v>1061</v>
      </c>
      <c r="E46" s="59"/>
      <c r="F46" s="1112"/>
      <c r="G46" s="1100"/>
      <c r="I46" s="1100"/>
    </row>
    <row r="47" spans="2:10" ht="13.5" customHeight="1">
      <c r="B47" s="1110"/>
      <c r="C47" s="1149"/>
      <c r="D47" s="1686"/>
      <c r="E47" s="1149"/>
      <c r="F47" s="1150"/>
      <c r="G47" s="1100"/>
      <c r="I47" s="1102"/>
    </row>
    <row r="48" spans="2:10" ht="12.75" customHeight="1">
      <c r="B48" s="1113" t="s">
        <v>1062</v>
      </c>
      <c r="C48" s="65">
        <v>899</v>
      </c>
      <c r="D48" s="1151">
        <v>0.61847932799999994</v>
      </c>
      <c r="E48" s="65">
        <f t="shared" ref="E48:E50" si="6">C48*D48</f>
        <v>556.01291587199989</v>
      </c>
      <c r="F48" s="1115">
        <f t="shared" ref="F48:F50" si="7">E48*$I$25/1000000</f>
        <v>1.5568361644415996E-2</v>
      </c>
      <c r="G48" s="1100"/>
      <c r="I48" s="1102"/>
    </row>
    <row r="49" spans="2:9" ht="25.5" customHeight="1">
      <c r="B49" s="1113" t="s">
        <v>1063</v>
      </c>
      <c r="C49" s="65">
        <f>C48*0.006</f>
        <v>5.3940000000000001</v>
      </c>
      <c r="D49" s="1152">
        <v>983.65967615375553</v>
      </c>
      <c r="E49" s="65">
        <f t="shared" si="6"/>
        <v>5305.8602931733576</v>
      </c>
      <c r="F49" s="1115">
        <f t="shared" si="7"/>
        <v>0.14856408820885403</v>
      </c>
      <c r="G49" s="1100"/>
      <c r="I49" s="1102"/>
    </row>
    <row r="50" spans="2:9" ht="25.5" customHeight="1">
      <c r="B50" s="1113" t="s">
        <v>1064</v>
      </c>
      <c r="C50" s="65">
        <f>C48*0.0015</f>
        <v>1.3485</v>
      </c>
      <c r="D50" s="1152">
        <v>964.14925058889139</v>
      </c>
      <c r="E50" s="65">
        <f t="shared" si="6"/>
        <v>1300.1552644191202</v>
      </c>
      <c r="F50" s="1115">
        <f t="shared" si="7"/>
        <v>3.6404347403735368E-2</v>
      </c>
      <c r="G50" s="1100"/>
      <c r="I50" s="1102"/>
    </row>
    <row r="51" spans="2:9" ht="14.25" customHeight="1">
      <c r="B51" s="1153" t="s">
        <v>1040</v>
      </c>
      <c r="C51" s="59"/>
      <c r="D51" s="59"/>
      <c r="E51" s="1119">
        <f>SUM(E47:E50)</f>
        <v>7162.0284734644774</v>
      </c>
      <c r="F51" s="1120">
        <f>SUM(F48:F50)</f>
        <v>0.20053679725700541</v>
      </c>
      <c r="G51" s="1100"/>
      <c r="I51" s="1154"/>
    </row>
    <row r="52" spans="2:9" ht="12" customHeight="1">
      <c r="B52" s="217"/>
      <c r="C52" s="218"/>
      <c r="D52" s="218"/>
      <c r="E52" s="218"/>
      <c r="F52" s="219"/>
    </row>
    <row r="53" spans="2:9" ht="12" customHeight="1">
      <c r="B53" s="14"/>
      <c r="C53" s="14"/>
      <c r="D53" s="14"/>
      <c r="E53" s="14"/>
      <c r="F53" s="14"/>
    </row>
    <row r="54" spans="2:9" ht="11.25" customHeight="1">
      <c r="B54" s="1719" t="s">
        <v>1065</v>
      </c>
      <c r="C54" s="1660"/>
      <c r="D54" s="1660"/>
      <c r="E54" s="1660"/>
      <c r="F54" s="1660"/>
      <c r="G54" s="1660"/>
      <c r="H54" s="1660"/>
      <c r="I54" s="1660"/>
    </row>
    <row r="55" spans="2:9" ht="11.25" customHeight="1">
      <c r="B55" s="1719" t="s">
        <v>1066</v>
      </c>
      <c r="C55" s="1660"/>
      <c r="D55" s="1660"/>
      <c r="E55" s="1660"/>
      <c r="F55" s="1660"/>
      <c r="G55" s="1660"/>
      <c r="H55" s="1660"/>
      <c r="I55" s="1660"/>
    </row>
    <row r="56" spans="2:9" ht="11.25" customHeight="1">
      <c r="B56" s="1719" t="s">
        <v>1067</v>
      </c>
      <c r="C56" s="1660"/>
      <c r="D56" s="1660"/>
      <c r="E56" s="1660"/>
      <c r="F56" s="1660"/>
      <c r="G56" s="1660"/>
      <c r="H56" s="1660"/>
      <c r="I56" s="1660"/>
    </row>
    <row r="57" spans="2:9" ht="11.25" customHeight="1">
      <c r="B57" s="1719" t="s">
        <v>1068</v>
      </c>
      <c r="C57" s="1660"/>
      <c r="D57" s="1660"/>
      <c r="E57" s="1660"/>
      <c r="F57" s="1660"/>
      <c r="G57" s="1660"/>
      <c r="H57" s="1660"/>
      <c r="I57" s="1660"/>
    </row>
    <row r="58" spans="2:9" ht="11.25" customHeight="1">
      <c r="B58" s="1719" t="s">
        <v>1069</v>
      </c>
      <c r="C58" s="1660"/>
      <c r="D58" s="1660"/>
      <c r="E58" s="1660"/>
      <c r="F58" s="1660"/>
      <c r="G58" s="1660"/>
      <c r="H58" s="1660"/>
      <c r="I58" s="1660"/>
    </row>
    <row r="59" spans="2:9" ht="11.25" customHeight="1">
      <c r="B59" s="14"/>
      <c r="C59" s="14"/>
      <c r="D59" s="14"/>
      <c r="E59" s="14"/>
      <c r="F59" s="14"/>
    </row>
    <row r="60" spans="2:9" ht="11.25" customHeight="1">
      <c r="B60" s="14"/>
      <c r="C60" s="14"/>
      <c r="D60" s="14"/>
      <c r="E60" s="14"/>
      <c r="F60" s="14"/>
    </row>
    <row r="61" spans="2:9" ht="11.25" customHeight="1">
      <c r="B61" s="14"/>
      <c r="C61" s="14"/>
      <c r="D61" s="14"/>
      <c r="E61" s="14"/>
      <c r="F61" s="14"/>
    </row>
    <row r="62" spans="2:9" ht="11.25" customHeight="1">
      <c r="B62" s="14"/>
      <c r="C62" s="14"/>
      <c r="D62" s="14"/>
      <c r="E62" s="14"/>
      <c r="F62" s="14"/>
    </row>
    <row r="63" spans="2:9" ht="11.25" customHeight="1">
      <c r="B63" s="14"/>
      <c r="C63" s="14"/>
      <c r="D63" s="14"/>
      <c r="E63" s="14"/>
      <c r="F63" s="14"/>
    </row>
    <row r="64" spans="2:9" ht="11.25" customHeight="1"/>
    <row r="65" spans="2:11" ht="21" customHeight="1">
      <c r="B65" s="1121" t="s">
        <v>1070</v>
      </c>
      <c r="C65" s="1121"/>
      <c r="D65" s="1122"/>
      <c r="E65" s="1122"/>
      <c r="F65" s="1122"/>
    </row>
    <row r="66" spans="2:11" ht="12" customHeight="1"/>
    <row r="67" spans="2:11" ht="15" customHeight="1">
      <c r="B67" s="487"/>
      <c r="C67" s="1155">
        <v>2006</v>
      </c>
      <c r="D67" s="1720" t="s">
        <v>1071</v>
      </c>
      <c r="E67" s="1721"/>
      <c r="F67" s="1722"/>
      <c r="G67" s="1156" t="s">
        <v>1072</v>
      </c>
      <c r="H67" s="1157" t="s">
        <v>1073</v>
      </c>
      <c r="I67" s="257" t="s">
        <v>1074</v>
      </c>
      <c r="J67" s="257" t="s">
        <v>1075</v>
      </c>
      <c r="K67" s="1158" t="s">
        <v>1076</v>
      </c>
    </row>
    <row r="68" spans="2:11" ht="14.25" customHeight="1">
      <c r="B68" s="1159" t="s">
        <v>1077</v>
      </c>
      <c r="C68" s="1160" t="s">
        <v>1078</v>
      </c>
      <c r="D68" s="1157" t="s">
        <v>872</v>
      </c>
      <c r="E68" s="1157" t="s">
        <v>1079</v>
      </c>
      <c r="F68" s="1157" t="s">
        <v>1080</v>
      </c>
      <c r="G68" s="190" t="s">
        <v>560</v>
      </c>
      <c r="H68" s="1161" t="s">
        <v>1081</v>
      </c>
      <c r="I68" s="187" t="s">
        <v>1082</v>
      </c>
      <c r="J68" s="187" t="s">
        <v>1083</v>
      </c>
      <c r="K68" s="499"/>
    </row>
    <row r="69" spans="2:11" ht="12" customHeight="1">
      <c r="B69" s="505"/>
      <c r="C69" s="1162"/>
      <c r="D69" s="1162" t="s">
        <v>1084</v>
      </c>
      <c r="E69" s="1162" t="s">
        <v>1085</v>
      </c>
      <c r="F69" s="1162" t="s">
        <v>1085</v>
      </c>
      <c r="G69" s="192"/>
      <c r="H69" s="1162"/>
      <c r="I69" s="16"/>
      <c r="J69" s="16"/>
      <c r="K69" s="506"/>
    </row>
    <row r="70" spans="2:11" ht="13.5" customHeight="1">
      <c r="B70" s="1163" t="s">
        <v>1086</v>
      </c>
      <c r="C70" s="1164">
        <v>2426.84465</v>
      </c>
      <c r="D70" s="1165">
        <v>31.87</v>
      </c>
      <c r="E70" s="1166">
        <v>9.4955026735800017E-5</v>
      </c>
      <c r="F70" s="1166">
        <v>9.4955026735800007E-4</v>
      </c>
      <c r="G70" s="1167">
        <v>1</v>
      </c>
      <c r="H70" s="1168">
        <f>C70*1000*D70*(44/12)*0.00045359237*0.90718/1000000</f>
        <v>0.11669565290015972</v>
      </c>
      <c r="I70" s="1169">
        <f>C70*E70*$I$26*0.000001</f>
        <v>6.1066891135461553E-5</v>
      </c>
      <c r="J70" s="1170">
        <f>C70*F70*$I$25*0.000001</f>
        <v>6.4523507614827307E-5</v>
      </c>
      <c r="K70" s="1171">
        <f>H70+I70+J70</f>
        <v>0.11682124329891</v>
      </c>
    </row>
    <row r="71" spans="2:11" ht="11.25" customHeight="1"/>
    <row r="72" spans="2:11" ht="12.75" customHeight="1">
      <c r="B72" s="232" t="s">
        <v>1087</v>
      </c>
      <c r="C72" s="196">
        <f>C70*1000</f>
        <v>2426844.65</v>
      </c>
    </row>
    <row r="73" spans="2:11" ht="11.25" customHeight="1"/>
    <row r="74" spans="2:11" ht="11.25" customHeight="1"/>
    <row r="75" spans="2:11" ht="11.25" customHeight="1">
      <c r="B75" s="46" t="s">
        <v>1088</v>
      </c>
    </row>
    <row r="76" spans="2:11" ht="11.25" customHeight="1"/>
    <row r="77" spans="2:11" ht="11.25" customHeight="1"/>
    <row r="78" spans="2:11" ht="12" customHeight="1"/>
    <row r="79" spans="2:11" ht="15.75" customHeight="1">
      <c r="B79" s="1172" t="s">
        <v>1089</v>
      </c>
      <c r="C79" s="1173"/>
    </row>
    <row r="80" spans="2:11" ht="15" customHeight="1">
      <c r="B80" s="1174"/>
      <c r="C80" s="1175">
        <v>2006</v>
      </c>
    </row>
    <row r="81" spans="2:3" ht="12.75" customHeight="1">
      <c r="B81" s="1110" t="s">
        <v>399</v>
      </c>
      <c r="C81" s="1176">
        <f>C82+C83+C84+C85</f>
        <v>1.1985384453783023</v>
      </c>
    </row>
    <row r="82" spans="2:3" ht="12.75" customHeight="1">
      <c r="B82" s="1177" t="s">
        <v>843</v>
      </c>
      <c r="C82" s="967">
        <f>F10</f>
        <v>8.0402567214711812E-4</v>
      </c>
    </row>
    <row r="83" spans="2:3" ht="12.75" customHeight="1">
      <c r="B83" s="1177" t="s">
        <v>1090</v>
      </c>
      <c r="C83" s="967">
        <f>F51</f>
        <v>0.20053679725700541</v>
      </c>
    </row>
    <row r="84" spans="2:3" ht="12.75" customHeight="1">
      <c r="B84" s="1177" t="s">
        <v>1091</v>
      </c>
      <c r="C84" s="967">
        <f>F34</f>
        <v>0.88037637915023981</v>
      </c>
    </row>
    <row r="85" spans="2:3" ht="12.75" customHeight="1">
      <c r="B85" s="1110" t="s">
        <v>1092</v>
      </c>
      <c r="C85" s="967">
        <f>K70</f>
        <v>0.11682124329891</v>
      </c>
    </row>
    <row r="86" spans="2:3" ht="12" customHeight="1">
      <c r="B86" s="217"/>
      <c r="C86" s="219"/>
    </row>
    <row r="87" spans="2:3" ht="12" customHeight="1"/>
    <row r="88" spans="2:3" ht="11.25" customHeight="1"/>
    <row r="89" spans="2:3" ht="11.25" customHeight="1"/>
    <row r="90" spans="2:3" ht="11.25" customHeight="1"/>
    <row r="91" spans="2:3" ht="11.25" customHeight="1"/>
    <row r="92" spans="2:3" ht="11.25" customHeight="1"/>
    <row r="93" spans="2:3" ht="11.25" customHeight="1"/>
    <row r="94" spans="2:3" ht="11.25" customHeight="1"/>
    <row r="95" spans="2:3" ht="11.25" customHeight="1"/>
    <row r="96" spans="2:3"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55:I55"/>
    <mergeCell ref="B56:I56"/>
    <mergeCell ref="B57:I57"/>
    <mergeCell ref="B58:I58"/>
    <mergeCell ref="D67:F67"/>
    <mergeCell ref="D46:D47"/>
    <mergeCell ref="B54:I54"/>
    <mergeCell ref="B15:I15"/>
    <mergeCell ref="C21:F21"/>
    <mergeCell ref="H22:I22"/>
    <mergeCell ref="B36:I36"/>
    <mergeCell ref="B38:I38"/>
  </mergeCells>
  <pageMargins left="0.7" right="0.7" top="0.75" bottom="0.75" header="0" footer="0"/>
  <pageSetup orientation="landscape"/>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E6D3471F7F04449211EBF97CCD3EEF" ma:contentTypeVersion="11" ma:contentTypeDescription="Create a new document." ma:contentTypeScope="" ma:versionID="1fa121f0f7dadc83016221ac4c0a73d5">
  <xsd:schema xmlns:xsd="http://www.w3.org/2001/XMLSchema" xmlns:xs="http://www.w3.org/2001/XMLSchema" xmlns:p="http://schemas.microsoft.com/office/2006/metadata/properties" xmlns:ns1="http://schemas.microsoft.com/sharepoint/v3" targetNamespace="http://schemas.microsoft.com/office/2006/metadata/properties" ma:root="true" ma:fieldsID="0f1c3a5fe40b69cf375f6490498fc6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BAE7FC5-BBBC-4AE2-8FFC-A1C78638F3DA}"/>
</file>

<file path=customXml/itemProps2.xml><?xml version="1.0" encoding="utf-8"?>
<ds:datastoreItem xmlns:ds="http://schemas.openxmlformats.org/officeDocument/2006/customXml" ds:itemID="{869A9840-F38D-4FAA-B018-BE306D20E7B3}"/>
</file>

<file path=customXml/itemProps3.xml><?xml version="1.0" encoding="utf-8"?>
<ds:datastoreItem xmlns:ds="http://schemas.openxmlformats.org/officeDocument/2006/customXml" ds:itemID="{04139CBD-5380-418B-B9C6-142E68515B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Summary</vt:lpstr>
      <vt:lpstr>EGU Production RGGI Units</vt:lpstr>
      <vt:lpstr>EGU Production Non-RGGI Units</vt:lpstr>
      <vt:lpstr>Imported Electricity</vt:lpstr>
      <vt:lpstr>Residential</vt:lpstr>
      <vt:lpstr>Commercial</vt:lpstr>
      <vt:lpstr>Industrial</vt:lpstr>
      <vt:lpstr>Transportation</vt:lpstr>
      <vt:lpstr>Natural Gas and Oil</vt:lpstr>
      <vt:lpstr>Mining</vt:lpstr>
      <vt:lpstr>Cement</vt:lpstr>
      <vt:lpstr>LimeT&amp;DSodaODS</vt:lpstr>
      <vt:lpstr>Iron And Steel</vt:lpstr>
      <vt:lpstr>Ammonia &amp; Urea Consumption</vt:lpstr>
      <vt:lpstr>Agricultural</vt:lpstr>
      <vt:lpstr>Agriculture_Liming</vt:lpstr>
      <vt:lpstr>Incinerators</vt:lpstr>
      <vt:lpstr>Landfills</vt:lpstr>
      <vt:lpstr>Wastewater</vt:lpstr>
      <vt:lpstr>OpenBurn</vt:lpstr>
      <vt:lpstr>Land_Use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Casey</dc:creator>
  <cp:lastModifiedBy>Susan Casey</cp:lastModifiedBy>
  <dcterms:created xsi:type="dcterms:W3CDTF">2022-09-25T15:46:53Z</dcterms:created>
  <dcterms:modified xsi:type="dcterms:W3CDTF">2022-09-25T15:46:53Z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0x010100D5E6D3471F7F04449211EBF97CCD3EEF</vt:lpwstr>
  </property>
</Properties>
</file>