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63" i="1"/>
  <c r="I38"/>
  <c r="E62"/>
  <c r="E61"/>
  <c r="H79" s="1"/>
  <c r="D33"/>
  <c r="C33"/>
  <c r="C42"/>
  <c r="B42"/>
  <c r="A42"/>
  <c r="E35"/>
  <c r="J35"/>
  <c r="H77" l="1"/>
  <c r="I77" s="1"/>
  <c r="H78"/>
  <c r="I78" s="1"/>
  <c r="H75"/>
  <c r="I75" s="1"/>
  <c r="H82"/>
  <c r="H81"/>
  <c r="I81" s="1"/>
  <c r="I76"/>
  <c r="H76"/>
  <c r="H80"/>
  <c r="H74"/>
  <c r="I74" s="1"/>
  <c r="I82"/>
  <c r="I79"/>
  <c r="I80"/>
  <c r="C41"/>
  <c r="H35"/>
  <c r="C30" s="1"/>
  <c r="E60"/>
  <c r="J81" s="1"/>
  <c r="E59"/>
  <c r="H52"/>
  <c r="H51"/>
  <c r="B51"/>
  <c r="B52"/>
  <c r="B53"/>
  <c r="J80" l="1"/>
  <c r="J82"/>
  <c r="J76"/>
  <c r="J79"/>
  <c r="J78"/>
  <c r="J77"/>
  <c r="J75"/>
  <c r="J74"/>
  <c r="C32"/>
  <c r="I85" l="1"/>
  <c r="C26"/>
  <c r="I24"/>
  <c r="I25"/>
  <c r="C24" s="1"/>
  <c r="C25" l="1"/>
  <c r="C31"/>
  <c r="C20"/>
  <c r="I18"/>
  <c r="I19"/>
  <c r="C18" s="1"/>
  <c r="C19" l="1"/>
</calcChain>
</file>

<file path=xl/sharedStrings.xml><?xml version="1.0" encoding="utf-8"?>
<sst xmlns="http://schemas.openxmlformats.org/spreadsheetml/2006/main" count="98" uniqueCount="70">
  <si>
    <t xml:space="preserve"> Dam Name:</t>
  </si>
  <si>
    <t xml:space="preserve"> Location:</t>
  </si>
  <si>
    <t xml:space="preserve"> Breach Scenario:</t>
  </si>
  <si>
    <t>Prepared by:</t>
  </si>
  <si>
    <t>Date:</t>
  </si>
  <si>
    <t>Note: This spreadsheet is provided for the convenience of the engineering community in the State of Maryland. All results should be verified as accurate by the user.</t>
  </si>
  <si>
    <t>Height of Dam (ft):</t>
  </si>
  <si>
    <t>Breach Bottom Elevation:</t>
  </si>
  <si>
    <t>Froelich (1995)</t>
  </si>
  <si>
    <t>Froelich (2008)</t>
  </si>
  <si>
    <t>Failure Scenario:</t>
  </si>
  <si>
    <t>Overtopping</t>
  </si>
  <si>
    <t>Piping</t>
  </si>
  <si>
    <t>Breach Bottom Width (ft):</t>
  </si>
  <si>
    <t>Avg. Breach Width (ft):</t>
  </si>
  <si>
    <t>Breach Side Slopes:</t>
  </si>
  <si>
    <t>H:1V</t>
  </si>
  <si>
    <t>Time of failure (hrs):</t>
  </si>
  <si>
    <r>
      <t>K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Factor:</t>
    </r>
  </si>
  <si>
    <t>VALUES USED FOR ANALYSIS (To be Entered by Engineer)</t>
  </si>
  <si>
    <t>Notes:</t>
  </si>
  <si>
    <t>- The average breach width cannot be wider than The width of The stream valley at The particular elevation.</t>
  </si>
  <si>
    <t>MacDonald &amp; Langridge-Monopolis (1984)</t>
  </si>
  <si>
    <t>Beaver Dam</t>
  </si>
  <si>
    <t>Baltimore, MD</t>
  </si>
  <si>
    <t>Brim Full</t>
  </si>
  <si>
    <t>JTR</t>
  </si>
  <si>
    <t>Peak Breach Discharge</t>
  </si>
  <si>
    <t>Ver</t>
  </si>
  <si>
    <t>Bff</t>
  </si>
  <si>
    <t>[For Piping Scenario Only when Storage Volume is less than 100 acre-feet]</t>
  </si>
  <si>
    <t>Wavg</t>
  </si>
  <si>
    <t>Upstream Slopes:</t>
  </si>
  <si>
    <t>Downstream Slopes:</t>
  </si>
  <si>
    <t>Crest Width (ft):</t>
  </si>
  <si>
    <t>Check for: Time of Failure less than recommended minimum value</t>
  </si>
  <si>
    <t>Check for: Time of Failure too long</t>
  </si>
  <si>
    <t>- The check for time of failures are based on minimum reasonable value (based on MDE experience) and the maximum reasonable valuesbased on expected erosion rate (Von Thun &amp; Gillette (1990)).</t>
  </si>
  <si>
    <t>National Weather Service Simple Dam Break Equation</t>
  </si>
  <si>
    <r>
      <t>Q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 xml:space="preserve"> = Peak breach discharge plus discharge through spillways (cfs)</t>
    </r>
  </si>
  <si>
    <t>Height of water above breach bottom (ft):</t>
  </si>
  <si>
    <t>Reservoir Storage Volume at Failure (acre-feet):</t>
  </si>
  <si>
    <t>Reservoir Surface Area at Failure (acres):</t>
  </si>
  <si>
    <r>
      <t>T</t>
    </r>
    <r>
      <rPr>
        <vertAlign val="subscript"/>
        <sz val="10"/>
        <rFont val="Calibri"/>
        <family val="2"/>
        <scheme val="minor"/>
      </rPr>
      <t>f</t>
    </r>
    <r>
      <rPr>
        <sz val="10"/>
        <rFont val="Calibri"/>
        <family val="2"/>
        <scheme val="minor"/>
      </rPr>
      <t xml:space="preserve"> = Time to failure (hrs)</t>
    </r>
  </si>
  <si>
    <r>
      <t>Q</t>
    </r>
    <r>
      <rPr>
        <vertAlign val="sub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 xml:space="preserve"> = Discharge through principal and emergency spillways with water surface at failure level</t>
    </r>
  </si>
  <si>
    <r>
      <t>B</t>
    </r>
    <r>
      <rPr>
        <vertAlign val="subscript"/>
        <sz val="10"/>
        <color theme="1"/>
        <rFont val="Calibri"/>
        <family val="2"/>
        <scheme val="minor"/>
      </rPr>
      <t>r</t>
    </r>
    <r>
      <rPr>
        <sz val="10"/>
        <color theme="1"/>
        <rFont val="Calibri"/>
        <family val="2"/>
        <scheme val="minor"/>
      </rPr>
      <t xml:space="preserve"> = Avg. Breach Width (ft), typically 1 to 5 times height of dam</t>
    </r>
  </si>
  <si>
    <r>
      <t>A</t>
    </r>
    <r>
      <rPr>
        <vertAlign val="subscript"/>
        <sz val="10"/>
        <color theme="1"/>
        <rFont val="Calibri"/>
        <family val="2"/>
        <scheme val="minor"/>
      </rPr>
      <t>s</t>
    </r>
    <r>
      <rPr>
        <sz val="10"/>
        <color theme="1"/>
        <rFont val="Calibri"/>
        <family val="2"/>
        <scheme val="minor"/>
      </rPr>
      <t xml:space="preserve"> = Reservoir Surface Area at with water surface at failure level (acres)</t>
    </r>
  </si>
  <si>
    <t>H  = Height of water above breach bottom (ft)</t>
  </si>
  <si>
    <r>
      <t>C  = 23.4*A</t>
    </r>
    <r>
      <rPr>
        <vertAlign val="subscript"/>
        <sz val="10"/>
        <color theme="1"/>
        <rFont val="Calibri"/>
        <family val="2"/>
        <scheme val="minor"/>
      </rPr>
      <t>s</t>
    </r>
    <r>
      <rPr>
        <sz val="10"/>
        <color theme="1"/>
        <rFont val="Calibri"/>
        <family val="2"/>
        <scheme val="minor"/>
      </rPr>
      <t>/B</t>
    </r>
    <r>
      <rPr>
        <vertAlign val="subscript"/>
        <sz val="10"/>
        <color theme="1"/>
        <rFont val="Calibri"/>
        <family val="2"/>
        <scheme val="minor"/>
      </rPr>
      <t>r</t>
    </r>
  </si>
  <si>
    <r>
      <t>Discharge through spillways at failure (Q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, cfs):</t>
    </r>
  </si>
  <si>
    <t>Time of failure (hrs) from previous sheet:</t>
  </si>
  <si>
    <t>Avg. Breach Width (ft) from previous sheet:</t>
  </si>
  <si>
    <t>[H]</t>
  </si>
  <si>
    <t>[1.5H]</t>
  </si>
  <si>
    <t>[2H]</t>
  </si>
  <si>
    <t>[2.5H]</t>
  </si>
  <si>
    <t>[3H]</t>
  </si>
  <si>
    <t>[3.5H]</t>
  </si>
  <si>
    <t>[4.0H]</t>
  </si>
  <si>
    <t>[5.0H]</t>
  </si>
  <si>
    <t>Breach Width</t>
  </si>
  <si>
    <t>(feet)</t>
  </si>
  <si>
    <t>[4.5H]</t>
  </si>
  <si>
    <t>C</t>
  </si>
  <si>
    <t>Peak Breach Discharge:</t>
  </si>
  <si>
    <t>cfs</t>
  </si>
  <si>
    <t>Factor</t>
  </si>
  <si>
    <r>
      <t>Q</t>
    </r>
    <r>
      <rPr>
        <b/>
        <vertAlign val="subscript"/>
        <sz val="10"/>
        <color theme="1"/>
        <rFont val="Calibri"/>
        <family val="2"/>
        <scheme val="minor"/>
      </rPr>
      <t>b</t>
    </r>
    <r>
      <rPr>
        <b/>
        <sz val="10"/>
        <color theme="1"/>
        <rFont val="Calibri"/>
        <family val="2"/>
        <scheme val="minor"/>
      </rPr>
      <t xml:space="preserve"> (cfs)</t>
    </r>
  </si>
  <si>
    <t>(based on on selected values)</t>
  </si>
  <si>
    <t>Breach Parameters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</si>
</sst>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164" fontId="0" fillId="0" borderId="0" xfId="0" applyNumberForma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6" fillId="3" borderId="0" xfId="0" applyFont="1" applyFill="1" applyBorder="1"/>
    <xf numFmtId="0" fontId="7" fillId="0" borderId="4" xfId="0" applyFont="1" applyBorder="1" applyAlignment="1">
      <alignment horizontal="right"/>
    </xf>
    <xf numFmtId="0" fontId="7" fillId="0" borderId="0" xfId="0" applyFont="1" applyBorder="1"/>
    <xf numFmtId="0" fontId="7" fillId="0" borderId="4" xfId="0" applyFont="1" applyBorder="1"/>
    <xf numFmtId="164" fontId="5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8" fillId="0" borderId="4" xfId="0" applyFont="1" applyBorder="1"/>
    <xf numFmtId="0" fontId="8" fillId="0" borderId="0" xfId="0" applyFont="1" applyBorder="1"/>
    <xf numFmtId="0" fontId="0" fillId="0" borderId="0" xfId="0" applyBorder="1" applyAlignment="1"/>
    <xf numFmtId="0" fontId="10" fillId="0" borderId="0" xfId="0" applyFont="1" applyBorder="1" applyAlignment="1"/>
    <xf numFmtId="0" fontId="2" fillId="0" borderId="4" xfId="0" applyFont="1" applyFill="1" applyBorder="1"/>
    <xf numFmtId="0" fontId="2" fillId="0" borderId="0" xfId="0" applyFont="1" applyFill="1" applyBorder="1"/>
    <xf numFmtId="0" fontId="0" fillId="0" borderId="4" xfId="0" applyFill="1" applyBorder="1"/>
    <xf numFmtId="0" fontId="5" fillId="0" borderId="0" xfId="0" applyFont="1" applyFill="1" applyBorder="1"/>
    <xf numFmtId="0" fontId="7" fillId="0" borderId="4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4" xfId="0" applyFont="1" applyFill="1" applyBorder="1"/>
    <xf numFmtId="0" fontId="7" fillId="0" borderId="0" xfId="0" quotePrefix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0" fillId="0" borderId="5" xfId="0" applyFill="1" applyBorder="1"/>
    <xf numFmtId="0" fontId="2" fillId="0" borderId="5" xfId="0" applyFont="1" applyFill="1" applyBorder="1"/>
    <xf numFmtId="164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4" xfId="0" applyFont="1" applyBorder="1"/>
    <xf numFmtId="0" fontId="0" fillId="0" borderId="0" xfId="0" applyFont="1" applyFill="1" applyBorder="1"/>
    <xf numFmtId="0" fontId="11" fillId="0" borderId="0" xfId="0" applyFont="1" applyBorder="1" applyAlignment="1" applyProtection="1">
      <alignment horizontal="center"/>
    </xf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 applyFill="1" applyBorder="1" applyAlignment="1" applyProtection="1">
      <alignment horizontal="center"/>
    </xf>
    <xf numFmtId="1" fontId="15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/>
    </xf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2" fillId="0" borderId="17" xfId="0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>
      <alignment horizontal="center"/>
    </xf>
    <xf numFmtId="0" fontId="2" fillId="0" borderId="18" xfId="0" applyFont="1" applyFill="1" applyBorder="1"/>
    <xf numFmtId="0" fontId="10" fillId="0" borderId="0" xfId="0" applyFont="1" applyBorder="1"/>
    <xf numFmtId="0" fontId="0" fillId="0" borderId="12" xfId="0" applyBorder="1" applyAlignment="1">
      <alignment horizontal="center"/>
    </xf>
    <xf numFmtId="0" fontId="16" fillId="0" borderId="0" xfId="0" applyFont="1" applyFill="1" applyBorder="1" applyAlignment="1">
      <alignment horizontal="center" vertical="top" wrapText="1"/>
    </xf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2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0" fillId="2" borderId="12" xfId="0" applyFill="1" applyBorder="1" applyAlignment="1">
      <alignment horizontal="left"/>
    </xf>
    <xf numFmtId="14" fontId="0" fillId="2" borderId="12" xfId="0" applyNumberFormat="1" applyFill="1" applyBorder="1" applyAlignment="1">
      <alignment horizontal="left"/>
    </xf>
    <xf numFmtId="0" fontId="0" fillId="0" borderId="9" xfId="0" applyNumberFormat="1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0" fillId="0" borderId="10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10" fillId="0" borderId="0" xfId="0" quotePrefix="1" applyFont="1" applyBorder="1" applyAlignment="1">
      <alignment horizontal="left" vertical="top" wrapText="1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4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0" xfId="0" applyFill="1"/>
    <xf numFmtId="2" fontId="11" fillId="0" borderId="0" xfId="0" applyNumberFormat="1" applyFont="1" applyFill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</cellXfs>
  <cellStyles count="1"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varyColors val="1"/>
        <c:ser>
          <c:idx val="0"/>
          <c:order val="0"/>
          <c:spPr>
            <a:ln w="22225">
              <a:solidFill>
                <a:schemeClr val="tx1"/>
              </a:solidFill>
              <a:prstDash val="sysDot"/>
            </a:ln>
          </c:spPr>
          <c:marker>
            <c:symbol val="circle"/>
            <c:size val="7"/>
          </c:marker>
          <c:xVal>
            <c:numRef>
              <c:f>Sheet1!$F$74:$F$82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xVal>
          <c:yVal>
            <c:numRef>
              <c:f>Sheet1!$J$74:$J$82</c:f>
              <c:numCache>
                <c:formatCode>0</c:formatCode>
                <c:ptCount val="9"/>
                <c:pt idx="0">
                  <c:v>1020.9696176627083</c:v>
                </c:pt>
                <c:pt idx="1">
                  <c:v>1016.91242027971</c:v>
                </c:pt>
                <c:pt idx="2">
                  <c:v>950.12481608824794</c:v>
                </c:pt>
                <c:pt idx="3">
                  <c:v>867.02582411731942</c:v>
                </c:pt>
                <c:pt idx="4">
                  <c:v>784.75948436233966</c:v>
                </c:pt>
                <c:pt idx="5">
                  <c:v>709.31869557242101</c:v>
                </c:pt>
                <c:pt idx="6">
                  <c:v>642.29372455232976</c:v>
                </c:pt>
                <c:pt idx="7">
                  <c:v>583.54727620061249</c:v>
                </c:pt>
                <c:pt idx="8">
                  <c:v>532.31643698171297</c:v>
                </c:pt>
              </c:numCache>
            </c:numRef>
          </c:yVal>
          <c:smooth val="1"/>
        </c:ser>
        <c:axId val="68936448"/>
        <c:axId val="68938752"/>
      </c:scatterChart>
      <c:valAx>
        <c:axId val="68936448"/>
        <c:scaling>
          <c:orientation val="minMax"/>
          <c:max val="5"/>
          <c:min val="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Breach Width Factor (#H)</a:t>
                </a:r>
              </a:p>
            </c:rich>
          </c:tx>
          <c:layout/>
        </c:title>
        <c:numFmt formatCode="General" sourceLinked="1"/>
        <c:tickLblPos val="nextTo"/>
        <c:crossAx val="68938752"/>
        <c:crosses val="autoZero"/>
        <c:crossBetween val="midCat"/>
      </c:valAx>
      <c:valAx>
        <c:axId val="689387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Peak Breach Discharge (cfs)</a:t>
                </a:r>
              </a:p>
            </c:rich>
          </c:tx>
          <c:layout/>
        </c:title>
        <c:numFmt formatCode="0" sourceLinked="1"/>
        <c:tickLblPos val="nextTo"/>
        <c:crossAx val="68936448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73</xdr:row>
      <xdr:rowOff>9525</xdr:rowOff>
    </xdr:from>
    <xdr:to>
      <xdr:col>5</xdr:col>
      <xdr:colOff>9526</xdr:colOff>
      <xdr:row>89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4"/>
  <sheetViews>
    <sheetView tabSelected="1" view="pageLayout" zoomScaleNormal="100" workbookViewId="0">
      <selection activeCell="E12" sqref="E12:G12"/>
    </sheetView>
  </sheetViews>
  <sheetFormatPr defaultRowHeight="15"/>
  <cols>
    <col min="1" max="1" width="14.42578125" customWidth="1"/>
    <col min="4" max="4" width="9.140625" customWidth="1"/>
    <col min="6" max="6" width="1.42578125" customWidth="1"/>
    <col min="7" max="7" width="12" customWidth="1"/>
    <col min="8" max="10" width="7.5703125" customWidth="1"/>
    <col min="11" max="11" width="1" customWidth="1"/>
    <col min="12" max="12" width="11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 t="s">
        <v>0</v>
      </c>
      <c r="B2" s="93" t="s">
        <v>23</v>
      </c>
      <c r="C2" s="93"/>
      <c r="D2" s="93"/>
      <c r="E2" s="93"/>
      <c r="F2" s="5"/>
      <c r="G2" s="5" t="s">
        <v>3</v>
      </c>
      <c r="H2" s="93" t="s">
        <v>26</v>
      </c>
      <c r="I2" s="93"/>
      <c r="J2" s="93"/>
      <c r="K2" s="10"/>
    </row>
    <row r="3" spans="1:11">
      <c r="A3" s="4" t="s">
        <v>1</v>
      </c>
      <c r="B3" s="93" t="s">
        <v>24</v>
      </c>
      <c r="C3" s="93"/>
      <c r="D3" s="93"/>
      <c r="E3" s="93"/>
      <c r="F3" s="5"/>
      <c r="G3" s="5" t="s">
        <v>4</v>
      </c>
      <c r="H3" s="94">
        <v>24264</v>
      </c>
      <c r="I3" s="93"/>
      <c r="J3" s="93"/>
      <c r="K3" s="10"/>
    </row>
    <row r="4" spans="1:11">
      <c r="A4" s="4" t="s">
        <v>2</v>
      </c>
      <c r="B4" s="93" t="s">
        <v>25</v>
      </c>
      <c r="C4" s="93"/>
      <c r="D4" s="93"/>
      <c r="E4" s="93"/>
      <c r="F4" s="5"/>
      <c r="G4" s="5"/>
      <c r="H4" s="5"/>
      <c r="I4" s="5"/>
      <c r="J4" s="5"/>
      <c r="K4" s="6"/>
    </row>
    <row r="5" spans="1:11" ht="15.75" thickBot="1">
      <c r="A5" s="7"/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10.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>
      <c r="A7" s="52" t="s">
        <v>6</v>
      </c>
      <c r="B7" s="5"/>
      <c r="C7" s="5"/>
      <c r="E7" s="89">
        <v>15</v>
      </c>
      <c r="F7" s="89"/>
      <c r="G7" s="89"/>
      <c r="H7" s="5"/>
      <c r="I7" s="5"/>
      <c r="J7" s="5"/>
      <c r="K7" s="6"/>
    </row>
    <row r="8" spans="1:11">
      <c r="A8" s="52" t="s">
        <v>7</v>
      </c>
      <c r="B8" s="5"/>
      <c r="C8" s="5"/>
      <c r="E8" s="89">
        <v>0</v>
      </c>
      <c r="F8" s="89"/>
      <c r="G8" s="89"/>
      <c r="H8" s="5"/>
      <c r="I8" s="5"/>
      <c r="J8" s="5"/>
      <c r="K8" s="6"/>
    </row>
    <row r="9" spans="1:11">
      <c r="A9" s="4" t="s">
        <v>40</v>
      </c>
      <c r="B9" s="5"/>
      <c r="C9" s="5"/>
      <c r="E9" s="89">
        <v>15</v>
      </c>
      <c r="F9" s="89"/>
      <c r="G9" s="89"/>
      <c r="H9" s="5"/>
      <c r="I9" s="5"/>
      <c r="J9" s="5"/>
      <c r="K9" s="6"/>
    </row>
    <row r="10" spans="1:11">
      <c r="A10" s="52" t="s">
        <v>41</v>
      </c>
      <c r="B10" s="5"/>
      <c r="C10" s="5"/>
      <c r="E10" s="89">
        <v>9</v>
      </c>
      <c r="F10" s="89"/>
      <c r="G10" s="89"/>
      <c r="H10" s="5"/>
      <c r="I10" s="5"/>
      <c r="J10" s="5"/>
      <c r="K10" s="6"/>
    </row>
    <row r="11" spans="1:11">
      <c r="A11" s="52" t="s">
        <v>42</v>
      </c>
      <c r="B11" s="5"/>
      <c r="C11" s="5"/>
      <c r="E11" s="89">
        <v>1.5</v>
      </c>
      <c r="F11" s="89"/>
      <c r="G11" s="89"/>
      <c r="H11" s="5"/>
      <c r="I11" s="5"/>
      <c r="J11" s="5"/>
      <c r="K11" s="6"/>
    </row>
    <row r="12" spans="1:11">
      <c r="A12" s="52" t="s">
        <v>10</v>
      </c>
      <c r="B12" s="5"/>
      <c r="C12" s="5"/>
      <c r="E12" s="89" t="s">
        <v>11</v>
      </c>
      <c r="F12" s="89"/>
      <c r="G12" s="89"/>
      <c r="H12" s="5"/>
      <c r="I12" s="5"/>
      <c r="J12" s="5"/>
      <c r="K12" s="6"/>
    </row>
    <row r="13" spans="1:11" ht="18">
      <c r="A13" s="4" t="s">
        <v>49</v>
      </c>
      <c r="B13" s="5"/>
      <c r="C13" s="5"/>
      <c r="E13" s="89">
        <v>65</v>
      </c>
      <c r="F13" s="89"/>
      <c r="G13" s="89"/>
      <c r="H13" s="5"/>
      <c r="I13" s="5"/>
      <c r="J13" s="5"/>
      <c r="K13" s="6"/>
    </row>
    <row r="14" spans="1:11" ht="10.5" customHeight="1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</row>
    <row r="15" spans="1:11">
      <c r="A15" s="83" t="s">
        <v>69</v>
      </c>
      <c r="B15" s="84"/>
      <c r="C15" s="84"/>
      <c r="D15" s="84"/>
      <c r="E15" s="84"/>
      <c r="F15" s="84"/>
      <c r="G15" s="84"/>
      <c r="H15" s="84"/>
      <c r="I15" s="84"/>
      <c r="J15" s="84"/>
      <c r="K15" s="85"/>
    </row>
    <row r="16" spans="1:11">
      <c r="A16" s="11" t="s">
        <v>9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>
      <c r="A18" s="4" t="s">
        <v>14</v>
      </c>
      <c r="B18" s="5"/>
      <c r="C18" s="91">
        <f>8.239*I19*E10^0.32*E9^0.04</f>
        <v>24.111215714702357</v>
      </c>
      <c r="D18" s="91"/>
      <c r="E18" s="5"/>
      <c r="F18" s="5"/>
      <c r="G18" s="5" t="s">
        <v>15</v>
      </c>
      <c r="H18" s="5"/>
      <c r="I18" s="21">
        <f>IF(E12="Overtopping",1,0.7)</f>
        <v>1</v>
      </c>
      <c r="J18" s="5" t="s">
        <v>16</v>
      </c>
      <c r="K18" s="6"/>
    </row>
    <row r="19" spans="1:11" ht="18">
      <c r="A19" s="4" t="s">
        <v>13</v>
      </c>
      <c r="B19" s="5"/>
      <c r="C19" s="91">
        <f>C18-((E7/2)*2*I18)</f>
        <v>9.1112157147023574</v>
      </c>
      <c r="D19" s="91"/>
      <c r="E19" s="5"/>
      <c r="F19" s="5"/>
      <c r="G19" s="5" t="s">
        <v>18</v>
      </c>
      <c r="H19" s="5"/>
      <c r="I19" s="15">
        <f>IF(E12="Overtopping",1.3,1)</f>
        <v>1.3</v>
      </c>
      <c r="J19" s="5"/>
      <c r="K19" s="6"/>
    </row>
    <row r="20" spans="1:11">
      <c r="A20" s="4" t="s">
        <v>17</v>
      </c>
      <c r="B20" s="5"/>
      <c r="C20" s="92">
        <f>3.664*(E10/(32.2*E9^2))^0.5</f>
        <v>0.12913903143896421</v>
      </c>
      <c r="D20" s="92"/>
      <c r="E20" s="5"/>
      <c r="F20" s="5"/>
      <c r="G20" s="5"/>
      <c r="H20" s="5"/>
      <c r="I20" s="16"/>
      <c r="J20" s="5"/>
      <c r="K20" s="6"/>
    </row>
    <row r="21" spans="1:11">
      <c r="A21" s="4"/>
      <c r="B21" s="5"/>
      <c r="C21" s="5"/>
      <c r="D21" s="5"/>
      <c r="E21" s="5"/>
      <c r="F21" s="5"/>
      <c r="G21" s="5"/>
      <c r="H21" s="5"/>
      <c r="I21" s="16"/>
      <c r="J21" s="5"/>
      <c r="K21" s="6"/>
    </row>
    <row r="22" spans="1:11">
      <c r="A22" s="11" t="s">
        <v>8</v>
      </c>
      <c r="B22" s="12"/>
      <c r="C22" s="12"/>
      <c r="D22" s="12"/>
      <c r="E22" s="12"/>
      <c r="F22" s="12"/>
      <c r="G22" s="12"/>
      <c r="H22" s="12"/>
      <c r="I22" s="17"/>
      <c r="J22" s="12"/>
      <c r="K22" s="13"/>
    </row>
    <row r="23" spans="1:11">
      <c r="A23" s="4"/>
      <c r="B23" s="5"/>
      <c r="C23" s="5"/>
      <c r="D23" s="5"/>
      <c r="E23" s="5"/>
      <c r="F23" s="5"/>
      <c r="G23" s="5"/>
      <c r="H23" s="5"/>
      <c r="I23" s="16"/>
      <c r="J23" s="5"/>
      <c r="K23" s="6"/>
    </row>
    <row r="24" spans="1:11">
      <c r="A24" s="4" t="s">
        <v>14</v>
      </c>
      <c r="B24" s="5"/>
      <c r="C24" s="91">
        <f>(E10*E9)^0.25*9.5*I25</f>
        <v>32.382251944323734</v>
      </c>
      <c r="D24" s="91"/>
      <c r="E24" s="5"/>
      <c r="F24" s="5"/>
      <c r="G24" s="5" t="s">
        <v>15</v>
      </c>
      <c r="H24" s="5"/>
      <c r="I24" s="21">
        <f>IF(E12="Overtopping",1.4,0.9)</f>
        <v>1.4</v>
      </c>
      <c r="J24" s="5" t="s">
        <v>16</v>
      </c>
      <c r="K24" s="6"/>
    </row>
    <row r="25" spans="1:11" ht="18">
      <c r="A25" s="4" t="s">
        <v>13</v>
      </c>
      <c r="B25" s="5"/>
      <c r="C25" s="91">
        <f>C24-((E7/2)*2*I24)</f>
        <v>11.382251944323734</v>
      </c>
      <c r="D25" s="91"/>
      <c r="E25" s="5"/>
      <c r="F25" s="5"/>
      <c r="G25" s="5" t="s">
        <v>18</v>
      </c>
      <c r="H25" s="5"/>
      <c r="I25" s="15">
        <f>IF(E12="Overtopping",1,0.7)</f>
        <v>1</v>
      </c>
      <c r="J25" s="5"/>
      <c r="K25" s="6"/>
    </row>
    <row r="26" spans="1:11">
      <c r="A26" s="4" t="s">
        <v>17</v>
      </c>
      <c r="B26" s="5"/>
      <c r="C26" s="92">
        <f>0.59*(E10^0.47)/(E9^0.91)</f>
        <v>0.14096228963989704</v>
      </c>
      <c r="D26" s="92"/>
      <c r="E26" s="5"/>
      <c r="F26" s="5"/>
      <c r="G26" s="5"/>
      <c r="H26" s="5"/>
      <c r="I26" s="5"/>
      <c r="J26" s="5"/>
      <c r="K26" s="6"/>
    </row>
    <row r="27" spans="1:11">
      <c r="A27" s="4"/>
      <c r="B27" s="5"/>
      <c r="C27" s="5"/>
      <c r="D27" s="5"/>
      <c r="E27" s="5"/>
      <c r="F27" s="5"/>
      <c r="G27" s="5"/>
      <c r="H27" s="5"/>
      <c r="I27" s="5"/>
      <c r="J27" s="5"/>
      <c r="K27" s="6"/>
    </row>
    <row r="28" spans="1:11">
      <c r="A28" s="11" t="s">
        <v>22</v>
      </c>
      <c r="B28" s="12"/>
      <c r="C28" s="12"/>
      <c r="D28" s="12"/>
      <c r="E28" s="25" t="s">
        <v>30</v>
      </c>
      <c r="F28" s="12"/>
      <c r="G28" s="12"/>
      <c r="H28" s="12"/>
      <c r="I28" s="17"/>
      <c r="J28" s="12"/>
      <c r="K28" s="13"/>
    </row>
    <row r="29" spans="1:11">
      <c r="A29" s="4"/>
      <c r="B29" s="5"/>
      <c r="C29" s="5"/>
      <c r="D29" s="5"/>
      <c r="E29" s="5"/>
      <c r="F29" s="5"/>
      <c r="G29" s="5"/>
      <c r="H29" s="5"/>
      <c r="I29" s="16"/>
      <c r="J29" s="5"/>
      <c r="K29" s="6"/>
    </row>
    <row r="30" spans="1:11">
      <c r="A30" s="4" t="s">
        <v>14</v>
      </c>
      <c r="B30" s="5"/>
      <c r="C30" s="91">
        <f>(28*H35)/(E7*E35)</f>
        <v>5.4600837481521731</v>
      </c>
      <c r="D30" s="91"/>
      <c r="E30" s="5"/>
      <c r="F30" s="5"/>
      <c r="G30" s="5" t="s">
        <v>15</v>
      </c>
      <c r="H30" s="5"/>
      <c r="I30" s="21">
        <v>0.5</v>
      </c>
      <c r="J30" s="5" t="s">
        <v>16</v>
      </c>
      <c r="K30" s="6"/>
    </row>
    <row r="31" spans="1:11">
      <c r="A31" s="4" t="s">
        <v>13</v>
      </c>
      <c r="B31" s="5"/>
      <c r="C31" s="91">
        <f>C30-((E7/2)*2*I30)</f>
        <v>-2.0399162518478269</v>
      </c>
      <c r="D31" s="91"/>
      <c r="E31" s="5"/>
      <c r="F31" s="5"/>
      <c r="G31" s="5" t="s">
        <v>32</v>
      </c>
      <c r="H31" s="5"/>
      <c r="I31" s="27">
        <v>2.5</v>
      </c>
      <c r="J31" s="5" t="s">
        <v>16</v>
      </c>
      <c r="K31" s="6"/>
    </row>
    <row r="32" spans="1:11">
      <c r="A32" s="4" t="s">
        <v>17</v>
      </c>
      <c r="B32" s="5"/>
      <c r="C32" s="92">
        <f>0.016*(H35^0.364)</f>
        <v>9.7322887559378096E-2</v>
      </c>
      <c r="D32" s="92"/>
      <c r="E32" s="5"/>
      <c r="F32" s="5"/>
      <c r="G32" s="5" t="s">
        <v>33</v>
      </c>
      <c r="H32" s="5"/>
      <c r="I32" s="28">
        <v>2</v>
      </c>
      <c r="J32" s="5" t="s">
        <v>16</v>
      </c>
      <c r="K32" s="6"/>
    </row>
    <row r="33" spans="1:11">
      <c r="A33" s="4"/>
      <c r="B33" s="34"/>
      <c r="C33" s="30">
        <f>E10</f>
        <v>9</v>
      </c>
      <c r="D33" s="35" t="str">
        <f>IF(E10&gt;=100,"Storage exceeds 100 ac-ft","Storage less than 100 ac-ft")</f>
        <v>Storage less than 100 ac-ft</v>
      </c>
      <c r="E33" s="34"/>
      <c r="F33" s="5"/>
      <c r="G33" s="22" t="s">
        <v>34</v>
      </c>
      <c r="H33" s="5"/>
      <c r="I33" s="29">
        <v>15</v>
      </c>
      <c r="J33" s="5"/>
      <c r="K33" s="6"/>
    </row>
    <row r="34" spans="1:11">
      <c r="A34" s="4"/>
      <c r="B34" s="5"/>
      <c r="C34" s="24"/>
      <c r="D34" s="24"/>
      <c r="E34" s="5"/>
      <c r="F34" s="5"/>
      <c r="G34" s="22"/>
      <c r="H34" s="5"/>
      <c r="I34" s="26"/>
      <c r="J34" s="5"/>
      <c r="K34" s="6"/>
    </row>
    <row r="35" spans="1:11" hidden="1">
      <c r="A35" s="4"/>
      <c r="B35" s="5"/>
      <c r="C35" s="5"/>
      <c r="D35" s="5" t="s">
        <v>31</v>
      </c>
      <c r="E35" s="5">
        <f>I33+(E7*((I31+I32)/2))</f>
        <v>48.75</v>
      </c>
      <c r="F35" s="5"/>
      <c r="G35" s="5" t="s">
        <v>28</v>
      </c>
      <c r="H35" s="5">
        <f>3.264*(J35^0.77)</f>
        <v>142.59593717272415</v>
      </c>
      <c r="I35" s="5" t="s">
        <v>29</v>
      </c>
      <c r="J35" s="5">
        <f>E10*E9</f>
        <v>135</v>
      </c>
      <c r="K35" s="6"/>
    </row>
    <row r="36" spans="1:11">
      <c r="A36" s="11" t="s">
        <v>19</v>
      </c>
      <c r="B36" s="12"/>
      <c r="C36" s="12"/>
      <c r="D36" s="12"/>
      <c r="E36" s="12"/>
      <c r="F36" s="12"/>
      <c r="G36" s="12"/>
      <c r="H36" s="12"/>
      <c r="I36" s="12"/>
      <c r="J36" s="12"/>
      <c r="K36" s="13"/>
    </row>
    <row r="37" spans="1:11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>
      <c r="A38" s="4" t="s">
        <v>14</v>
      </c>
      <c r="B38" s="5"/>
      <c r="C38" s="89">
        <v>32.4</v>
      </c>
      <c r="D38" s="89"/>
      <c r="E38" s="5"/>
      <c r="F38" s="5"/>
      <c r="G38" s="5" t="s">
        <v>15</v>
      </c>
      <c r="H38" s="5"/>
      <c r="I38" s="71">
        <f>(((C38-C39)/2)/(E7/2))</f>
        <v>1.4</v>
      </c>
      <c r="J38" s="5" t="s">
        <v>16</v>
      </c>
      <c r="K38" s="6"/>
    </row>
    <row r="39" spans="1:11">
      <c r="A39" s="4" t="s">
        <v>13</v>
      </c>
      <c r="B39" s="5"/>
      <c r="C39" s="89">
        <v>11.4</v>
      </c>
      <c r="D39" s="89"/>
      <c r="E39" s="5"/>
      <c r="F39" s="5"/>
      <c r="G39" s="70" t="s">
        <v>68</v>
      </c>
      <c r="H39" s="5"/>
      <c r="I39" s="14"/>
      <c r="J39" s="5"/>
      <c r="K39" s="6"/>
    </row>
    <row r="40" spans="1:11">
      <c r="A40" s="4" t="s">
        <v>17</v>
      </c>
      <c r="B40" s="5"/>
      <c r="C40" s="89">
        <v>0.25</v>
      </c>
      <c r="D40" s="89"/>
      <c r="E40" s="19"/>
      <c r="F40" s="5"/>
      <c r="G40" s="5"/>
      <c r="H40" s="5"/>
      <c r="J40" s="5"/>
      <c r="K40" s="6"/>
    </row>
    <row r="41" spans="1:11">
      <c r="A41" s="4"/>
      <c r="C41" s="23">
        <f>A42/B42</f>
        <v>5.3999999999999995</v>
      </c>
      <c r="D41" s="31" t="s">
        <v>36</v>
      </c>
      <c r="E41" s="19"/>
      <c r="F41" s="5"/>
      <c r="G41" s="5"/>
      <c r="H41" s="5"/>
      <c r="I41" s="5"/>
      <c r="J41" s="5"/>
      <c r="K41" s="6"/>
    </row>
    <row r="42" spans="1:11">
      <c r="A42" s="32">
        <f>(C38/C40)</f>
        <v>129.6</v>
      </c>
      <c r="B42" s="33">
        <f>1.6*E9</f>
        <v>24</v>
      </c>
      <c r="C42" s="23">
        <f>C40</f>
        <v>0.25</v>
      </c>
      <c r="D42" s="31" t="s">
        <v>35</v>
      </c>
      <c r="E42" s="19"/>
      <c r="F42" s="5"/>
      <c r="G42" s="5"/>
      <c r="H42" s="5"/>
      <c r="I42" s="5"/>
      <c r="J42" s="5"/>
      <c r="K42" s="6"/>
    </row>
    <row r="43" spans="1:11" hidden="1">
      <c r="A43" s="4"/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>
      <c r="A44" s="18" t="s">
        <v>20</v>
      </c>
      <c r="B44" s="19"/>
      <c r="C44" s="19"/>
      <c r="D44" s="19"/>
      <c r="E44" s="19"/>
      <c r="F44" s="19"/>
      <c r="G44" s="19"/>
      <c r="H44" s="19"/>
      <c r="I44" s="19"/>
      <c r="J44" s="19"/>
      <c r="K44" s="6"/>
    </row>
    <row r="45" spans="1:11" ht="15" customHeight="1">
      <c r="A45" s="20"/>
      <c r="B45" s="103" t="s">
        <v>21</v>
      </c>
      <c r="C45" s="103"/>
      <c r="D45" s="103"/>
      <c r="E45" s="103"/>
      <c r="F45" s="103"/>
      <c r="G45" s="103"/>
      <c r="H45" s="103"/>
      <c r="I45" s="103"/>
      <c r="J45" s="103"/>
      <c r="K45" s="6"/>
    </row>
    <row r="46" spans="1:11" ht="15" customHeight="1">
      <c r="A46" s="20"/>
      <c r="B46" s="103" t="s">
        <v>37</v>
      </c>
      <c r="C46" s="103"/>
      <c r="D46" s="103"/>
      <c r="E46" s="103"/>
      <c r="F46" s="103"/>
      <c r="G46" s="103"/>
      <c r="H46" s="103"/>
      <c r="I46" s="103"/>
      <c r="J46" s="103"/>
      <c r="K46" s="6"/>
    </row>
    <row r="47" spans="1:11" ht="15" customHeight="1">
      <c r="A47" s="20"/>
      <c r="B47" s="103"/>
      <c r="C47" s="103"/>
      <c r="D47" s="103"/>
      <c r="E47" s="103"/>
      <c r="F47" s="103"/>
      <c r="G47" s="103"/>
      <c r="H47" s="103"/>
      <c r="I47" s="103"/>
      <c r="J47" s="103"/>
      <c r="K47" s="6"/>
    </row>
    <row r="48" spans="1:11">
      <c r="A48" s="80" t="s">
        <v>5</v>
      </c>
      <c r="B48" s="81"/>
      <c r="C48" s="81"/>
      <c r="D48" s="81"/>
      <c r="E48" s="81"/>
      <c r="F48" s="81"/>
      <c r="G48" s="81"/>
      <c r="H48" s="81"/>
      <c r="I48" s="81"/>
      <c r="J48" s="81"/>
      <c r="K48" s="82"/>
    </row>
    <row r="49" spans="1:11" ht="7.5" customHeight="1" thickBot="1">
      <c r="A49" s="7"/>
      <c r="B49" s="8"/>
      <c r="C49" s="8"/>
      <c r="D49" s="8"/>
      <c r="E49" s="8"/>
      <c r="F49" s="8"/>
      <c r="G49" s="8"/>
      <c r="H49" s="8"/>
      <c r="I49" s="8"/>
      <c r="J49" s="8"/>
      <c r="K49" s="9"/>
    </row>
    <row r="50" spans="1:11">
      <c r="A50" s="1"/>
      <c r="B50" s="2"/>
      <c r="C50" s="2"/>
      <c r="D50" s="2"/>
      <c r="E50" s="2"/>
      <c r="F50" s="2"/>
      <c r="G50" s="2"/>
      <c r="H50" s="2"/>
      <c r="I50" s="2"/>
      <c r="J50" s="2"/>
      <c r="K50" s="3"/>
    </row>
    <row r="51" spans="1:11">
      <c r="A51" s="4" t="s">
        <v>0</v>
      </c>
      <c r="B51" s="98" t="str">
        <f>B2</f>
        <v>Beaver Dam</v>
      </c>
      <c r="C51" s="98"/>
      <c r="D51" s="98"/>
      <c r="E51" s="98"/>
      <c r="F51" s="5"/>
      <c r="G51" s="5" t="s">
        <v>3</v>
      </c>
      <c r="H51" s="95" t="str">
        <f>H2</f>
        <v>JTR</v>
      </c>
      <c r="I51" s="95"/>
      <c r="J51" s="95"/>
      <c r="K51" s="10"/>
    </row>
    <row r="52" spans="1:11">
      <c r="A52" s="4" t="s">
        <v>1</v>
      </c>
      <c r="B52" s="99" t="str">
        <f>B3</f>
        <v>Baltimore, MD</v>
      </c>
      <c r="C52" s="99"/>
      <c r="D52" s="99"/>
      <c r="E52" s="99"/>
      <c r="F52" s="5"/>
      <c r="G52" s="5" t="s">
        <v>4</v>
      </c>
      <c r="H52" s="96">
        <f>H3</f>
        <v>24264</v>
      </c>
      <c r="I52" s="97"/>
      <c r="J52" s="97"/>
      <c r="K52" s="10"/>
    </row>
    <row r="53" spans="1:11">
      <c r="A53" s="4" t="s">
        <v>2</v>
      </c>
      <c r="B53" s="99" t="str">
        <f>B4</f>
        <v>Brim Full</v>
      </c>
      <c r="C53" s="99"/>
      <c r="D53" s="99"/>
      <c r="E53" s="99"/>
      <c r="F53" s="5"/>
      <c r="G53" s="5"/>
      <c r="H53" s="5"/>
      <c r="I53" s="5"/>
      <c r="J53" s="5"/>
      <c r="K53" s="6"/>
    </row>
    <row r="54" spans="1:11" ht="15.75" thickBot="1">
      <c r="A54" s="7"/>
      <c r="B54" s="8"/>
      <c r="C54" s="8"/>
      <c r="D54" s="8"/>
      <c r="E54" s="8"/>
      <c r="F54" s="8"/>
      <c r="G54" s="8"/>
      <c r="H54" s="8"/>
      <c r="I54" s="8"/>
      <c r="J54" s="8"/>
      <c r="K54" s="9"/>
    </row>
    <row r="55" spans="1:11">
      <c r="A55" s="4"/>
      <c r="B55" s="5"/>
      <c r="C55" s="5"/>
      <c r="D55" s="5"/>
      <c r="E55" s="5"/>
      <c r="F55" s="5"/>
      <c r="G55" s="5"/>
      <c r="H55" s="5"/>
      <c r="I55" s="5"/>
      <c r="J55" s="5"/>
      <c r="K55" s="6"/>
    </row>
    <row r="56" spans="1:11">
      <c r="A56" s="83" t="s">
        <v>27</v>
      </c>
      <c r="B56" s="84"/>
      <c r="C56" s="84"/>
      <c r="D56" s="84"/>
      <c r="E56" s="84"/>
      <c r="F56" s="84"/>
      <c r="G56" s="84"/>
      <c r="H56" s="84"/>
      <c r="I56" s="84"/>
      <c r="J56" s="84"/>
      <c r="K56" s="85"/>
    </row>
    <row r="57" spans="1:11">
      <c r="A57" s="11" t="s">
        <v>38</v>
      </c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>
      <c r="A58" s="4"/>
      <c r="B58" s="5"/>
      <c r="C58" s="5"/>
      <c r="D58" s="5"/>
      <c r="E58" s="5"/>
      <c r="F58" s="5"/>
      <c r="G58" s="5"/>
      <c r="H58" s="5"/>
      <c r="I58" s="5"/>
      <c r="J58" s="5"/>
      <c r="K58" s="6"/>
    </row>
    <row r="59" spans="1:11">
      <c r="A59" s="4" t="s">
        <v>51</v>
      </c>
      <c r="B59" s="5"/>
      <c r="C59" s="5"/>
      <c r="E59" s="90">
        <f>C38</f>
        <v>32.4</v>
      </c>
      <c r="F59" s="90"/>
      <c r="G59" s="90"/>
      <c r="H59" s="5"/>
      <c r="I59" s="5"/>
      <c r="J59" s="5"/>
      <c r="K59" s="6"/>
    </row>
    <row r="60" spans="1:11">
      <c r="A60" s="4" t="s">
        <v>50</v>
      </c>
      <c r="B60" s="5"/>
      <c r="C60" s="5"/>
      <c r="E60" s="90">
        <f>C40</f>
        <v>0.25</v>
      </c>
      <c r="F60" s="90"/>
      <c r="G60" s="90"/>
      <c r="H60" s="5"/>
      <c r="I60" s="5"/>
      <c r="J60" s="5"/>
      <c r="K60" s="6"/>
    </row>
    <row r="61" spans="1:11">
      <c r="A61" s="4" t="s">
        <v>40</v>
      </c>
      <c r="B61" s="5"/>
      <c r="C61" s="5"/>
      <c r="E61" s="90">
        <f>E9</f>
        <v>15</v>
      </c>
      <c r="F61" s="90"/>
      <c r="G61" s="90"/>
      <c r="H61" s="5"/>
      <c r="I61" s="5"/>
      <c r="J61" s="5"/>
      <c r="K61" s="6"/>
    </row>
    <row r="62" spans="1:11">
      <c r="A62" s="52" t="s">
        <v>42</v>
      </c>
      <c r="B62" s="5"/>
      <c r="C62" s="5"/>
      <c r="E62" s="90">
        <f>E11</f>
        <v>1.5</v>
      </c>
      <c r="F62" s="90"/>
      <c r="G62" s="90"/>
      <c r="H62" s="5"/>
      <c r="I62" s="5"/>
      <c r="J62" s="5"/>
      <c r="K62" s="6"/>
    </row>
    <row r="63" spans="1:11" ht="18">
      <c r="A63" s="4" t="s">
        <v>49</v>
      </c>
      <c r="B63" s="5"/>
      <c r="C63" s="5"/>
      <c r="E63" s="100">
        <f>E13</f>
        <v>65</v>
      </c>
      <c r="F63" s="101"/>
      <c r="G63" s="102"/>
      <c r="H63" s="5"/>
      <c r="I63" s="5"/>
      <c r="J63" s="5"/>
      <c r="K63" s="6"/>
    </row>
    <row r="64" spans="1:11" ht="18.75" customHeight="1">
      <c r="A64" s="52"/>
      <c r="B64" s="5"/>
      <c r="C64" s="5"/>
      <c r="E64" s="23"/>
      <c r="F64" s="23"/>
      <c r="G64" s="23"/>
      <c r="H64" s="5"/>
      <c r="I64" s="5"/>
      <c r="J64" s="5"/>
      <c r="K64" s="6"/>
    </row>
    <row r="65" spans="1:11" ht="18.75" customHeight="1">
      <c r="A65" s="4"/>
      <c r="B65" s="5"/>
      <c r="C65" s="22"/>
      <c r="D65" s="23"/>
      <c r="E65" s="23"/>
      <c r="F65" s="22"/>
      <c r="G65" s="22"/>
      <c r="H65" s="5"/>
      <c r="I65" s="5"/>
      <c r="J65" s="22"/>
      <c r="K65" s="45"/>
    </row>
    <row r="66" spans="1:11">
      <c r="A66" s="20" t="s">
        <v>39</v>
      </c>
      <c r="B66" s="5"/>
      <c r="C66" s="5"/>
      <c r="D66" s="5"/>
      <c r="E66" s="5"/>
      <c r="F66" s="5"/>
      <c r="G66" s="5"/>
      <c r="H66" s="5"/>
      <c r="I66" s="5"/>
      <c r="J66" s="22"/>
      <c r="K66" s="45"/>
    </row>
    <row r="67" spans="1:11">
      <c r="A67" s="20" t="s">
        <v>44</v>
      </c>
      <c r="B67" s="37"/>
      <c r="C67" s="37"/>
      <c r="D67" s="37"/>
      <c r="E67" s="37"/>
      <c r="F67" s="37"/>
      <c r="G67" s="37"/>
      <c r="H67" s="37"/>
      <c r="I67" s="37"/>
      <c r="J67" s="37"/>
      <c r="K67" s="46"/>
    </row>
    <row r="68" spans="1:11">
      <c r="A68" s="20" t="s">
        <v>45</v>
      </c>
      <c r="B68" s="22"/>
      <c r="C68" s="22"/>
      <c r="D68" s="22"/>
      <c r="E68" s="22"/>
      <c r="F68" s="22"/>
      <c r="G68" s="22"/>
      <c r="H68" s="22"/>
      <c r="I68" s="22"/>
      <c r="J68" s="22"/>
      <c r="K68" s="45"/>
    </row>
    <row r="69" spans="1:11">
      <c r="A69" s="20" t="s">
        <v>46</v>
      </c>
      <c r="B69" s="22"/>
      <c r="C69" s="47"/>
      <c r="D69" s="47"/>
      <c r="E69" s="22"/>
      <c r="F69" s="22"/>
      <c r="G69" s="22"/>
      <c r="H69" s="22"/>
      <c r="I69" s="48"/>
      <c r="J69" s="22"/>
      <c r="K69" s="45"/>
    </row>
    <row r="70" spans="1:11">
      <c r="A70" s="20" t="s">
        <v>47</v>
      </c>
      <c r="C70" s="47"/>
      <c r="D70" s="47"/>
      <c r="E70" s="53"/>
      <c r="F70" s="53"/>
      <c r="G70" s="53"/>
      <c r="H70" s="53"/>
      <c r="I70" s="49"/>
      <c r="J70" s="22"/>
      <c r="K70" s="45"/>
    </row>
    <row r="71" spans="1:11">
      <c r="A71" s="20" t="s">
        <v>43</v>
      </c>
      <c r="C71" s="50"/>
      <c r="D71" s="50"/>
      <c r="E71" s="53"/>
      <c r="F71" s="53"/>
      <c r="G71" s="53"/>
      <c r="H71" s="53"/>
      <c r="I71" s="39"/>
      <c r="J71" s="22"/>
      <c r="K71" s="45"/>
    </row>
    <row r="72" spans="1:11" ht="18" customHeight="1">
      <c r="A72" s="20" t="s">
        <v>48</v>
      </c>
      <c r="C72" s="53"/>
      <c r="D72" s="53"/>
      <c r="E72" s="53"/>
      <c r="F72" s="53"/>
      <c r="G72" s="88" t="s">
        <v>60</v>
      </c>
      <c r="H72" s="88"/>
      <c r="I72" s="86" t="s">
        <v>63</v>
      </c>
      <c r="J72" s="87" t="s">
        <v>67</v>
      </c>
      <c r="K72" s="45"/>
    </row>
    <row r="73" spans="1:11">
      <c r="A73" s="38"/>
      <c r="C73" s="53"/>
      <c r="D73" s="53"/>
      <c r="E73" s="53"/>
      <c r="F73" s="53"/>
      <c r="G73" s="59" t="s">
        <v>66</v>
      </c>
      <c r="H73" s="60" t="s">
        <v>61</v>
      </c>
      <c r="I73" s="86"/>
      <c r="J73" s="87"/>
      <c r="K73" s="46"/>
    </row>
    <row r="74" spans="1:11">
      <c r="A74" s="36"/>
      <c r="C74" s="53"/>
      <c r="E74" s="53"/>
      <c r="F74" s="53">
        <v>1</v>
      </c>
      <c r="G74" s="54" t="s">
        <v>52</v>
      </c>
      <c r="H74" s="55">
        <f>$E$61*1</f>
        <v>15</v>
      </c>
      <c r="I74" s="56">
        <f>(23.4*$E$62)/H74</f>
        <v>2.3399999999999994</v>
      </c>
      <c r="J74" s="58">
        <f t="shared" ref="J74:J82" si="0">(I74/($E$60+I74/SQRT($E$61)))^3*H74*3.1+$E$13</f>
        <v>1020.9696176627083</v>
      </c>
      <c r="K74" s="45"/>
    </row>
    <row r="75" spans="1:11">
      <c r="A75" s="38"/>
      <c r="C75" s="47"/>
      <c r="D75" s="47"/>
      <c r="E75" s="53"/>
      <c r="F75" s="53">
        <v>1.5</v>
      </c>
      <c r="G75" s="54" t="s">
        <v>53</v>
      </c>
      <c r="H75" s="55">
        <f>$E$61*1.5</f>
        <v>22.5</v>
      </c>
      <c r="I75" s="56">
        <f t="shared" ref="I75:I82" si="1">(23.4*$E$62)/H75</f>
        <v>1.5599999999999998</v>
      </c>
      <c r="J75" s="58">
        <f t="shared" si="0"/>
        <v>1016.91242027971</v>
      </c>
      <c r="K75" s="45"/>
    </row>
    <row r="76" spans="1:11">
      <c r="A76" s="38"/>
      <c r="C76" s="47"/>
      <c r="D76" s="47"/>
      <c r="E76" s="53"/>
      <c r="F76" s="53">
        <v>2</v>
      </c>
      <c r="G76" s="54" t="s">
        <v>54</v>
      </c>
      <c r="H76" s="55">
        <f>$E$61*2</f>
        <v>30</v>
      </c>
      <c r="I76" s="56">
        <f t="shared" si="1"/>
        <v>1.1699999999999997</v>
      </c>
      <c r="J76" s="58">
        <f t="shared" si="0"/>
        <v>950.12481608824794</v>
      </c>
      <c r="K76" s="45"/>
    </row>
    <row r="77" spans="1:11">
      <c r="A77" s="38"/>
      <c r="B77" s="53"/>
      <c r="C77" s="50"/>
      <c r="D77" s="50"/>
      <c r="E77" s="22"/>
      <c r="F77" s="53">
        <v>2.5</v>
      </c>
      <c r="G77" s="57" t="s">
        <v>55</v>
      </c>
      <c r="H77" s="55">
        <f>$E$61*2.5</f>
        <v>37.5</v>
      </c>
      <c r="I77" s="56">
        <f t="shared" si="1"/>
        <v>0.93599999999999983</v>
      </c>
      <c r="J77" s="58">
        <f t="shared" si="0"/>
        <v>867.02582411731942</v>
      </c>
      <c r="K77" s="45"/>
    </row>
    <row r="78" spans="1:11">
      <c r="A78" s="38"/>
      <c r="B78" s="53"/>
      <c r="C78" s="53"/>
      <c r="D78" s="53"/>
      <c r="E78" s="22"/>
      <c r="F78" s="53">
        <v>3</v>
      </c>
      <c r="G78" s="54" t="s">
        <v>56</v>
      </c>
      <c r="H78" s="55">
        <f>$E$61*3</f>
        <v>45</v>
      </c>
      <c r="I78" s="56">
        <f t="shared" si="1"/>
        <v>0.77999999999999992</v>
      </c>
      <c r="J78" s="58">
        <f t="shared" si="0"/>
        <v>784.75948436233966</v>
      </c>
      <c r="K78" s="45"/>
    </row>
    <row r="79" spans="1:11">
      <c r="A79" s="36"/>
      <c r="B79" s="37"/>
      <c r="C79" s="37"/>
      <c r="D79" s="37"/>
      <c r="E79" s="37"/>
      <c r="F79" s="37">
        <v>3.5</v>
      </c>
      <c r="G79" s="54" t="s">
        <v>57</v>
      </c>
      <c r="H79" s="55">
        <f>$E$61*3.5</f>
        <v>52.5</v>
      </c>
      <c r="I79" s="56">
        <f t="shared" si="1"/>
        <v>0.66857142857142848</v>
      </c>
      <c r="J79" s="58">
        <f t="shared" si="0"/>
        <v>709.31869557242101</v>
      </c>
      <c r="K79" s="46"/>
    </row>
    <row r="80" spans="1:11">
      <c r="A80" s="38"/>
      <c r="B80" s="22"/>
      <c r="C80" s="22"/>
      <c r="D80" s="22"/>
      <c r="E80" s="22"/>
      <c r="F80" s="53">
        <v>4</v>
      </c>
      <c r="G80" s="54" t="s">
        <v>58</v>
      </c>
      <c r="H80" s="55">
        <f>$E$61*4</f>
        <v>60</v>
      </c>
      <c r="I80" s="56">
        <f t="shared" si="1"/>
        <v>0.58499999999999985</v>
      </c>
      <c r="J80" s="58">
        <f t="shared" si="0"/>
        <v>642.29372455232976</v>
      </c>
      <c r="K80" s="45"/>
    </row>
    <row r="81" spans="1:11">
      <c r="A81" s="38"/>
      <c r="B81" s="22"/>
      <c r="C81" s="47"/>
      <c r="D81" s="47"/>
      <c r="E81" s="22"/>
      <c r="F81" s="53">
        <v>4.5</v>
      </c>
      <c r="G81" s="54" t="s">
        <v>62</v>
      </c>
      <c r="H81" s="55">
        <f>$E$61*4.5</f>
        <v>67.5</v>
      </c>
      <c r="I81" s="56">
        <f t="shared" si="1"/>
        <v>0.51999999999999991</v>
      </c>
      <c r="J81" s="58">
        <f t="shared" si="0"/>
        <v>583.54727620061249</v>
      </c>
      <c r="K81" s="6"/>
    </row>
    <row r="82" spans="1:11">
      <c r="A82" s="38"/>
      <c r="B82" s="22"/>
      <c r="C82" s="47"/>
      <c r="D82" s="47"/>
      <c r="E82" s="22"/>
      <c r="F82" s="53">
        <v>5</v>
      </c>
      <c r="G82" s="54" t="s">
        <v>59</v>
      </c>
      <c r="H82" s="55">
        <f>$E$61*5</f>
        <v>75</v>
      </c>
      <c r="I82" s="56">
        <f t="shared" si="1"/>
        <v>0.46799999999999992</v>
      </c>
      <c r="J82" s="58">
        <f t="shared" si="0"/>
        <v>532.31643698171297</v>
      </c>
      <c r="K82" s="6"/>
    </row>
    <row r="83" spans="1:11">
      <c r="A83" s="38"/>
      <c r="B83" s="22"/>
      <c r="C83" s="50"/>
      <c r="D83" s="50"/>
      <c r="E83" s="22"/>
      <c r="F83" s="22"/>
      <c r="G83" s="22"/>
      <c r="H83" s="22"/>
      <c r="I83" s="22"/>
      <c r="J83" s="22"/>
      <c r="K83" s="6"/>
    </row>
    <row r="84" spans="1:11">
      <c r="A84" s="38"/>
      <c r="B84" s="22"/>
      <c r="C84" s="22"/>
      <c r="D84" s="22"/>
      <c r="E84" s="22"/>
      <c r="F84" s="22"/>
      <c r="G84" s="61"/>
      <c r="H84" s="62"/>
      <c r="I84" s="62"/>
      <c r="J84" s="63"/>
      <c r="K84" s="6"/>
    </row>
    <row r="85" spans="1:11">
      <c r="A85" s="38"/>
      <c r="B85" s="22"/>
      <c r="C85" s="51"/>
      <c r="D85" s="51"/>
      <c r="E85" s="22"/>
      <c r="F85" s="22"/>
      <c r="G85" s="67" t="s">
        <v>64</v>
      </c>
      <c r="H85" s="37"/>
      <c r="I85" s="68">
        <f>MAX(J74:J82)</f>
        <v>1020.9696176627083</v>
      </c>
      <c r="J85" s="69" t="s">
        <v>65</v>
      </c>
      <c r="K85" s="6"/>
    </row>
    <row r="86" spans="1:11">
      <c r="A86" s="38"/>
      <c r="B86" s="22"/>
      <c r="C86" s="51"/>
      <c r="D86" s="51"/>
      <c r="E86" s="22"/>
      <c r="F86" s="22"/>
      <c r="G86" s="64"/>
      <c r="H86" s="65"/>
      <c r="I86" s="65"/>
      <c r="J86" s="66"/>
      <c r="K86" s="6"/>
    </row>
    <row r="87" spans="1:11">
      <c r="A87" s="38"/>
      <c r="B87" s="22"/>
      <c r="C87" s="22"/>
      <c r="D87" s="22"/>
      <c r="E87" s="22"/>
      <c r="F87" s="22"/>
      <c r="G87" s="22"/>
      <c r="H87" s="22"/>
      <c r="I87" s="22"/>
      <c r="J87" s="22"/>
      <c r="K87" s="6"/>
    </row>
    <row r="88" spans="1:11">
      <c r="A88" s="40"/>
      <c r="B88" s="41"/>
      <c r="C88" s="41"/>
      <c r="D88" s="41"/>
      <c r="E88" s="41"/>
      <c r="F88" s="41"/>
      <c r="G88" s="41"/>
      <c r="H88" s="41"/>
      <c r="I88" s="41"/>
      <c r="J88" s="41"/>
      <c r="K88" s="6"/>
    </row>
    <row r="89" spans="1:11">
      <c r="A89" s="42"/>
      <c r="B89" s="43"/>
      <c r="C89" s="44"/>
      <c r="D89" s="44"/>
      <c r="E89" s="44"/>
      <c r="F89" s="44"/>
      <c r="G89" s="44"/>
      <c r="H89" s="44"/>
      <c r="I89" s="44"/>
      <c r="J89" s="44"/>
      <c r="K89" s="6"/>
    </row>
    <row r="90" spans="1:11">
      <c r="A90" s="42"/>
      <c r="B90" s="44"/>
      <c r="C90" s="44"/>
      <c r="D90" s="44"/>
      <c r="E90" s="44"/>
      <c r="F90" s="44"/>
      <c r="G90" s="44"/>
      <c r="H90" s="44"/>
      <c r="I90" s="44"/>
      <c r="J90" s="44"/>
      <c r="K90" s="6"/>
    </row>
    <row r="91" spans="1:11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6"/>
    </row>
    <row r="92" spans="1:11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6"/>
    </row>
    <row r="93" spans="1:11">
      <c r="A93" s="4"/>
      <c r="B93" s="5"/>
      <c r="C93" s="5"/>
      <c r="D93" s="5"/>
      <c r="E93" s="5"/>
      <c r="F93" s="5"/>
      <c r="G93" s="5"/>
      <c r="H93" s="5"/>
      <c r="I93" s="5"/>
      <c r="J93" s="5"/>
      <c r="K93" s="6"/>
    </row>
    <row r="94" spans="1:11">
      <c r="A94" s="80" t="s">
        <v>5</v>
      </c>
      <c r="B94" s="81"/>
      <c r="C94" s="81"/>
      <c r="D94" s="81"/>
      <c r="E94" s="81"/>
      <c r="F94" s="81"/>
      <c r="G94" s="81"/>
      <c r="H94" s="81"/>
      <c r="I94" s="81"/>
      <c r="J94" s="81"/>
      <c r="K94" s="82"/>
    </row>
    <row r="95" spans="1:11" ht="15.75" thickBot="1">
      <c r="A95" s="7"/>
      <c r="B95" s="8"/>
      <c r="C95" s="8"/>
      <c r="D95" s="8"/>
      <c r="E95" s="8"/>
      <c r="F95" s="8"/>
      <c r="G95" s="8"/>
      <c r="H95" s="8"/>
      <c r="I95" s="8"/>
      <c r="J95" s="8"/>
      <c r="K95" s="9"/>
    </row>
    <row r="96" spans="1:11">
      <c r="A96" s="104"/>
      <c r="B96" s="105"/>
      <c r="C96" s="105"/>
      <c r="D96" s="105"/>
      <c r="E96" s="105"/>
      <c r="F96" s="105"/>
      <c r="G96" s="105"/>
      <c r="H96" s="105"/>
      <c r="I96" s="105"/>
      <c r="J96" s="105"/>
      <c r="K96" s="106"/>
    </row>
    <row r="97" spans="1:11">
      <c r="A97" s="107"/>
      <c r="B97" s="108"/>
      <c r="C97" s="108"/>
      <c r="D97" s="108"/>
      <c r="E97" s="108"/>
      <c r="F97" s="108"/>
      <c r="G97" s="108"/>
      <c r="H97" s="108"/>
      <c r="I97" s="108"/>
      <c r="J97" s="108"/>
      <c r="K97" s="109"/>
    </row>
    <row r="98" spans="1:11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46"/>
    </row>
    <row r="99" spans="1:11">
      <c r="A99" s="38"/>
      <c r="B99" s="51"/>
      <c r="C99" s="51"/>
      <c r="D99" s="51"/>
      <c r="E99" s="51"/>
      <c r="F99" s="22"/>
      <c r="G99" s="22"/>
      <c r="H99" s="22"/>
      <c r="I99" s="22"/>
      <c r="J99" s="22"/>
      <c r="K99" s="45"/>
    </row>
    <row r="100" spans="1:11">
      <c r="A100" s="38"/>
      <c r="B100" s="22"/>
      <c r="C100" s="22"/>
      <c r="D100" s="22"/>
      <c r="E100" s="22"/>
      <c r="F100" s="22"/>
      <c r="G100" s="22"/>
      <c r="H100" s="22"/>
      <c r="I100" s="22"/>
      <c r="J100" s="22"/>
      <c r="K100" s="45"/>
    </row>
    <row r="101" spans="1:11">
      <c r="A101" s="38"/>
      <c r="B101" s="22"/>
      <c r="C101" s="22"/>
      <c r="D101" s="22"/>
      <c r="E101" s="22"/>
      <c r="F101" s="22"/>
      <c r="G101" s="22"/>
      <c r="H101" s="22"/>
      <c r="I101" s="22"/>
      <c r="J101" s="22"/>
      <c r="K101" s="45"/>
    </row>
    <row r="102" spans="1:11">
      <c r="A102" s="73"/>
      <c r="B102" s="74"/>
      <c r="C102" s="74"/>
      <c r="D102" s="74"/>
      <c r="E102" s="74"/>
      <c r="F102" s="74"/>
      <c r="G102" s="74"/>
      <c r="H102" s="74"/>
      <c r="I102" s="74"/>
      <c r="J102" s="74"/>
      <c r="K102" s="75"/>
    </row>
    <row r="103" spans="1:11">
      <c r="A103" s="36"/>
      <c r="B103" s="37"/>
      <c r="C103" s="37"/>
      <c r="D103" s="37"/>
      <c r="E103" s="37"/>
      <c r="F103" s="37"/>
      <c r="G103" s="37"/>
      <c r="H103" s="37"/>
      <c r="I103" s="37"/>
      <c r="J103" s="37"/>
      <c r="K103" s="46"/>
    </row>
    <row r="104" spans="1:11">
      <c r="A104" s="38"/>
      <c r="B104" s="22"/>
      <c r="C104" s="22"/>
      <c r="D104" s="22"/>
      <c r="E104" s="22"/>
      <c r="F104" s="22"/>
      <c r="G104" s="22"/>
      <c r="H104" s="22"/>
      <c r="I104" s="22"/>
      <c r="J104" s="22"/>
      <c r="K104" s="45"/>
    </row>
    <row r="105" spans="1:11">
      <c r="A105" s="38"/>
      <c r="B105" s="22"/>
      <c r="C105" s="22"/>
      <c r="D105" s="22"/>
      <c r="E105" s="51"/>
      <c r="F105" s="51"/>
      <c r="G105" s="51"/>
      <c r="H105" s="22"/>
      <c r="I105" s="22"/>
      <c r="J105" s="22"/>
      <c r="K105" s="45"/>
    </row>
    <row r="106" spans="1:11">
      <c r="A106" s="36"/>
      <c r="B106" s="37"/>
      <c r="C106" s="37"/>
      <c r="D106" s="37"/>
      <c r="E106" s="37"/>
      <c r="F106" s="37"/>
      <c r="G106" s="37"/>
      <c r="H106" s="37"/>
      <c r="I106" s="110"/>
      <c r="J106" s="37"/>
      <c r="K106" s="46"/>
    </row>
    <row r="107" spans="1:11">
      <c r="A107" s="38"/>
      <c r="B107" s="22"/>
      <c r="C107" s="22"/>
      <c r="D107" s="22"/>
      <c r="E107" s="51"/>
      <c r="F107" s="51"/>
      <c r="G107" s="51"/>
      <c r="H107" s="22"/>
      <c r="I107" s="22"/>
      <c r="J107" s="22"/>
      <c r="K107" s="45"/>
    </row>
    <row r="108" spans="1:11">
      <c r="A108" s="111"/>
      <c r="B108" s="22"/>
      <c r="C108" s="22"/>
      <c r="D108" s="22"/>
      <c r="E108" s="51"/>
      <c r="F108" s="51"/>
      <c r="G108" s="51"/>
      <c r="H108" s="22"/>
      <c r="I108" s="22"/>
      <c r="J108" s="22"/>
      <c r="K108" s="45"/>
    </row>
    <row r="109" spans="1:11">
      <c r="A109" s="38"/>
      <c r="B109" s="22"/>
      <c r="C109" s="22"/>
      <c r="D109" s="22"/>
      <c r="E109" s="51"/>
      <c r="F109" s="51"/>
      <c r="G109" s="51"/>
      <c r="H109" s="22"/>
      <c r="I109" s="22"/>
      <c r="J109" s="22"/>
      <c r="K109" s="45"/>
    </row>
    <row r="110" spans="1:11">
      <c r="A110" s="111"/>
      <c r="B110" s="22"/>
      <c r="C110" s="22"/>
      <c r="D110" s="22"/>
      <c r="E110" s="23"/>
      <c r="F110" s="23"/>
      <c r="G110" s="23"/>
      <c r="H110" s="22"/>
      <c r="I110" s="22"/>
      <c r="J110" s="22"/>
      <c r="K110" s="45"/>
    </row>
    <row r="111" spans="1:11">
      <c r="A111" s="38"/>
      <c r="B111" s="22"/>
      <c r="C111" s="22"/>
      <c r="D111" s="23"/>
      <c r="E111" s="23"/>
      <c r="F111" s="22"/>
      <c r="G111" s="22"/>
      <c r="H111" s="22"/>
      <c r="I111" s="22"/>
      <c r="J111" s="22"/>
      <c r="K111" s="45"/>
    </row>
    <row r="112" spans="1:11">
      <c r="A112" s="42"/>
      <c r="B112" s="22"/>
      <c r="C112" s="22"/>
      <c r="D112" s="22"/>
      <c r="E112" s="22"/>
      <c r="F112" s="22"/>
      <c r="G112" s="22"/>
      <c r="H112" s="22"/>
      <c r="I112" s="22"/>
      <c r="J112" s="22"/>
      <c r="K112" s="45"/>
    </row>
    <row r="113" spans="1:11">
      <c r="A113" s="36"/>
      <c r="B113" s="37"/>
      <c r="C113" s="37"/>
      <c r="D113" s="37"/>
      <c r="E113" s="112"/>
      <c r="F113" s="37"/>
      <c r="G113" s="37"/>
      <c r="H113" s="37"/>
      <c r="I113" s="110"/>
      <c r="J113" s="37"/>
      <c r="K113" s="46"/>
    </row>
    <row r="114" spans="1:11">
      <c r="A114" s="38"/>
      <c r="B114" s="22"/>
      <c r="C114" s="22"/>
      <c r="D114" s="22"/>
      <c r="E114" s="22"/>
      <c r="F114" s="22"/>
      <c r="G114" s="22"/>
      <c r="H114" s="22"/>
      <c r="I114" s="39"/>
      <c r="J114" s="22"/>
      <c r="K114" s="45"/>
    </row>
    <row r="115" spans="1:11">
      <c r="A115" s="38"/>
      <c r="B115" s="22"/>
      <c r="C115" s="47"/>
      <c r="D115" s="47"/>
      <c r="E115" s="22"/>
      <c r="F115" s="22"/>
      <c r="G115" s="22"/>
      <c r="H115" s="22"/>
      <c r="I115" s="49"/>
      <c r="J115" s="22"/>
      <c r="K115" s="45"/>
    </row>
    <row r="116" spans="1:11">
      <c r="A116" s="38"/>
      <c r="B116" s="22"/>
      <c r="C116" s="47"/>
      <c r="D116" s="47"/>
      <c r="E116" s="22"/>
      <c r="F116" s="22"/>
      <c r="G116" s="22"/>
      <c r="H116" s="22"/>
      <c r="I116" s="49"/>
      <c r="J116" s="22"/>
      <c r="K116" s="45"/>
    </row>
    <row r="117" spans="1:11">
      <c r="A117" s="42"/>
      <c r="B117" s="113"/>
      <c r="C117" s="50"/>
      <c r="D117" s="50"/>
      <c r="E117" s="53"/>
      <c r="F117" s="53"/>
      <c r="G117" s="53"/>
      <c r="H117" s="53"/>
      <c r="I117" s="39"/>
      <c r="J117" s="22"/>
      <c r="K117" s="45"/>
    </row>
    <row r="118" spans="1:11">
      <c r="A118" s="42"/>
      <c r="B118" s="113"/>
      <c r="C118" s="53"/>
      <c r="D118" s="53"/>
      <c r="E118" s="53"/>
      <c r="F118" s="53"/>
      <c r="G118" s="77"/>
      <c r="H118" s="77"/>
      <c r="I118" s="78"/>
      <c r="J118" s="79"/>
      <c r="K118" s="45"/>
    </row>
    <row r="119" spans="1:11">
      <c r="A119" s="38"/>
      <c r="B119" s="113"/>
      <c r="C119" s="53"/>
      <c r="D119" s="53"/>
      <c r="E119" s="53"/>
      <c r="F119" s="53"/>
      <c r="G119" s="72"/>
      <c r="H119" s="60"/>
      <c r="I119" s="78"/>
      <c r="J119" s="79"/>
      <c r="K119" s="46"/>
    </row>
    <row r="120" spans="1:11">
      <c r="A120" s="36"/>
      <c r="B120" s="113"/>
      <c r="C120" s="53"/>
      <c r="D120" s="113"/>
      <c r="E120" s="53"/>
      <c r="F120" s="53"/>
      <c r="G120" s="57"/>
      <c r="H120" s="55"/>
      <c r="I120" s="114"/>
      <c r="J120" s="58"/>
      <c r="K120" s="45"/>
    </row>
    <row r="121" spans="1:11">
      <c r="A121" s="38"/>
      <c r="B121" s="113"/>
      <c r="C121" s="47"/>
      <c r="D121" s="47"/>
      <c r="E121" s="53"/>
      <c r="F121" s="53"/>
      <c r="G121" s="57"/>
      <c r="H121" s="55"/>
      <c r="I121" s="114"/>
      <c r="J121" s="58"/>
      <c r="K121" s="45"/>
    </row>
    <row r="122" spans="1:11">
      <c r="A122" s="38"/>
      <c r="B122" s="113"/>
      <c r="C122" s="47"/>
      <c r="D122" s="47"/>
      <c r="E122" s="53"/>
      <c r="F122" s="53"/>
      <c r="G122" s="57"/>
      <c r="H122" s="55"/>
      <c r="I122" s="114"/>
      <c r="J122" s="58"/>
      <c r="K122" s="45"/>
    </row>
    <row r="123" spans="1:11">
      <c r="A123" s="38"/>
      <c r="B123" s="53"/>
      <c r="C123" s="50"/>
      <c r="D123" s="50"/>
      <c r="E123" s="22"/>
      <c r="F123" s="53"/>
      <c r="G123" s="57"/>
      <c r="H123" s="55"/>
      <c r="I123" s="114"/>
      <c r="J123" s="58"/>
      <c r="K123" s="45"/>
    </row>
    <row r="124" spans="1:11">
      <c r="A124" s="38"/>
      <c r="B124" s="53"/>
      <c r="C124" s="53"/>
      <c r="D124" s="53"/>
      <c r="E124" s="22"/>
      <c r="F124" s="53"/>
      <c r="G124" s="57"/>
      <c r="H124" s="55"/>
      <c r="I124" s="114"/>
      <c r="J124" s="58"/>
      <c r="K124" s="45"/>
    </row>
    <row r="125" spans="1:11">
      <c r="A125" s="36"/>
      <c r="B125" s="37"/>
      <c r="C125" s="37"/>
      <c r="D125" s="37"/>
      <c r="E125" s="37"/>
      <c r="F125" s="37"/>
      <c r="G125" s="57"/>
      <c r="H125" s="55"/>
      <c r="I125" s="115"/>
      <c r="J125" s="58"/>
      <c r="K125" s="46"/>
    </row>
    <row r="126" spans="1:11">
      <c r="A126" s="38"/>
      <c r="B126" s="22"/>
      <c r="C126" s="22"/>
      <c r="D126" s="22"/>
      <c r="E126" s="22"/>
      <c r="F126" s="53"/>
      <c r="G126" s="57"/>
      <c r="H126" s="55"/>
      <c r="I126" s="115"/>
      <c r="J126" s="58"/>
      <c r="K126" s="45"/>
    </row>
    <row r="127" spans="1:11">
      <c r="A127" s="38"/>
      <c r="B127" s="22"/>
      <c r="C127" s="47"/>
      <c r="D127" s="47"/>
      <c r="E127" s="22"/>
      <c r="F127" s="53"/>
      <c r="G127" s="57"/>
      <c r="H127" s="55"/>
      <c r="I127" s="115"/>
      <c r="J127" s="58"/>
      <c r="K127" s="45"/>
    </row>
    <row r="128" spans="1:11">
      <c r="A128" s="38"/>
      <c r="B128" s="22"/>
      <c r="C128" s="47"/>
      <c r="D128" s="47"/>
      <c r="E128" s="22"/>
      <c r="F128" s="53"/>
      <c r="G128" s="57"/>
      <c r="H128" s="55"/>
      <c r="I128" s="115"/>
      <c r="J128" s="58"/>
      <c r="K128" s="45"/>
    </row>
    <row r="129" spans="1:11">
      <c r="A129" s="38"/>
      <c r="B129" s="22"/>
      <c r="C129" s="50"/>
      <c r="D129" s="50"/>
      <c r="E129" s="22"/>
      <c r="F129" s="22"/>
      <c r="G129" s="22"/>
      <c r="H129" s="22"/>
      <c r="I129" s="22"/>
      <c r="J129" s="22"/>
      <c r="K129" s="45"/>
    </row>
    <row r="130" spans="1:11">
      <c r="A130" s="38"/>
      <c r="B130" s="22"/>
      <c r="C130" s="22"/>
      <c r="D130" s="22"/>
      <c r="E130" s="22"/>
      <c r="F130" s="22"/>
      <c r="G130" s="22"/>
      <c r="H130" s="22"/>
      <c r="I130" s="22"/>
      <c r="J130" s="22"/>
      <c r="K130" s="45"/>
    </row>
    <row r="131" spans="1:11">
      <c r="A131" s="38"/>
      <c r="B131" s="22"/>
      <c r="C131" s="51"/>
      <c r="D131" s="51"/>
      <c r="E131" s="22"/>
      <c r="F131" s="22"/>
      <c r="G131" s="76"/>
      <c r="H131" s="37"/>
      <c r="I131" s="68"/>
      <c r="J131" s="37"/>
      <c r="K131" s="45"/>
    </row>
    <row r="132" spans="1:11">
      <c r="A132" s="38"/>
      <c r="B132" s="22"/>
      <c r="C132" s="51"/>
      <c r="D132" s="51"/>
      <c r="E132" s="22"/>
      <c r="F132" s="22"/>
      <c r="G132" s="22"/>
      <c r="H132" s="22"/>
      <c r="I132" s="22"/>
      <c r="J132" s="22"/>
      <c r="K132" s="45"/>
    </row>
    <row r="133" spans="1:11">
      <c r="A133" s="38"/>
      <c r="B133" s="22"/>
      <c r="C133" s="22"/>
      <c r="D133" s="22"/>
      <c r="E133" s="22"/>
      <c r="F133" s="22"/>
      <c r="G133" s="22"/>
      <c r="H133" s="22"/>
      <c r="I133" s="22"/>
      <c r="J133" s="22"/>
      <c r="K133" s="45"/>
    </row>
    <row r="134" spans="1:11">
      <c r="A134" s="40"/>
      <c r="B134" s="41"/>
      <c r="C134" s="41"/>
      <c r="D134" s="41"/>
      <c r="E134" s="41"/>
      <c r="F134" s="41"/>
      <c r="G134" s="41"/>
      <c r="H134" s="41"/>
      <c r="I134" s="41"/>
      <c r="J134" s="41"/>
      <c r="K134" s="45"/>
    </row>
    <row r="135" spans="1:11">
      <c r="A135" s="42"/>
      <c r="B135" s="43"/>
      <c r="C135" s="44"/>
      <c r="D135" s="44"/>
      <c r="E135" s="44"/>
      <c r="F135" s="44"/>
      <c r="G135" s="44"/>
      <c r="H135" s="44"/>
      <c r="I135" s="44"/>
      <c r="J135" s="44"/>
      <c r="K135" s="45"/>
    </row>
    <row r="136" spans="1:11">
      <c r="A136" s="42"/>
      <c r="B136" s="44"/>
      <c r="C136" s="44"/>
      <c r="D136" s="44"/>
      <c r="E136" s="44"/>
      <c r="F136" s="44"/>
      <c r="G136" s="44"/>
      <c r="H136" s="44"/>
      <c r="I136" s="44"/>
      <c r="J136" s="44"/>
      <c r="K136" s="45"/>
    </row>
    <row r="137" spans="1:11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5"/>
    </row>
    <row r="138" spans="1:11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5"/>
    </row>
    <row r="139" spans="1:11">
      <c r="A139" s="38"/>
      <c r="B139" s="22"/>
      <c r="C139" s="22"/>
      <c r="D139" s="22"/>
      <c r="E139" s="22"/>
      <c r="F139" s="22"/>
      <c r="G139" s="22"/>
      <c r="H139" s="22"/>
      <c r="I139" s="22"/>
      <c r="J139" s="22"/>
      <c r="K139" s="45"/>
    </row>
    <row r="140" spans="1:11">
      <c r="A140" s="116"/>
      <c r="B140" s="117"/>
      <c r="C140" s="117"/>
      <c r="D140" s="117"/>
      <c r="E140" s="117"/>
      <c r="F140" s="117"/>
      <c r="G140" s="117"/>
      <c r="H140" s="117"/>
      <c r="I140" s="117"/>
      <c r="J140" s="117"/>
      <c r="K140" s="118"/>
    </row>
    <row r="141" spans="1:11" ht="15.75" thickBot="1">
      <c r="A141" s="119"/>
      <c r="B141" s="120"/>
      <c r="C141" s="120"/>
      <c r="D141" s="120"/>
      <c r="E141" s="120"/>
      <c r="F141" s="120"/>
      <c r="G141" s="120"/>
      <c r="H141" s="120"/>
      <c r="I141" s="120"/>
      <c r="J141" s="120"/>
      <c r="K141" s="121"/>
    </row>
    <row r="143" spans="1:11" hidden="1">
      <c r="A143" t="s">
        <v>11</v>
      </c>
    </row>
    <row r="144" spans="1:11" hidden="1">
      <c r="A144" t="s">
        <v>12</v>
      </c>
    </row>
  </sheetData>
  <mergeCells count="45">
    <mergeCell ref="C39:D39"/>
    <mergeCell ref="B45:J45"/>
    <mergeCell ref="B46:J47"/>
    <mergeCell ref="C24:D24"/>
    <mergeCell ref="C25:D25"/>
    <mergeCell ref="C26:D26"/>
    <mergeCell ref="A94:K94"/>
    <mergeCell ref="H2:J2"/>
    <mergeCell ref="H3:J3"/>
    <mergeCell ref="B4:E4"/>
    <mergeCell ref="B3:E3"/>
    <mergeCell ref="B2:E2"/>
    <mergeCell ref="H51:J51"/>
    <mergeCell ref="H52:J52"/>
    <mergeCell ref="B51:E51"/>
    <mergeCell ref="B52:E52"/>
    <mergeCell ref="B53:E53"/>
    <mergeCell ref="A56:K56"/>
    <mergeCell ref="E63:G63"/>
    <mergeCell ref="E7:G7"/>
    <mergeCell ref="E8:G8"/>
    <mergeCell ref="E9:G9"/>
    <mergeCell ref="E10:G10"/>
    <mergeCell ref="E11:G11"/>
    <mergeCell ref="E12:G12"/>
    <mergeCell ref="E59:G59"/>
    <mergeCell ref="E60:G60"/>
    <mergeCell ref="E61:G61"/>
    <mergeCell ref="E62:G62"/>
    <mergeCell ref="A48:K48"/>
    <mergeCell ref="C40:D40"/>
    <mergeCell ref="E13:G13"/>
    <mergeCell ref="A15:K15"/>
    <mergeCell ref="C30:D30"/>
    <mergeCell ref="C31:D31"/>
    <mergeCell ref="C32:D32"/>
    <mergeCell ref="C38:D38"/>
    <mergeCell ref="C18:D18"/>
    <mergeCell ref="C19:D19"/>
    <mergeCell ref="C20:D20"/>
    <mergeCell ref="A140:K140"/>
    <mergeCell ref="A97:K97"/>
    <mergeCell ref="I72:I73"/>
    <mergeCell ref="J72:J73"/>
    <mergeCell ref="G72:H72"/>
  </mergeCells>
  <conditionalFormatting sqref="C41">
    <cfRule type="iconSet" priority="5">
      <iconSet iconSet="3Symbols" showValue="0">
        <cfvo type="percent" val="0"/>
        <cfvo type="num" val="0.99999990000000005"/>
        <cfvo type="num" val="1.0000001000000001"/>
      </iconSet>
    </cfRule>
  </conditionalFormatting>
  <conditionalFormatting sqref="C42">
    <cfRule type="iconSet" priority="4">
      <iconSet iconSet="3Symbols" showValue="0">
        <cfvo type="percent" val="0"/>
        <cfvo type="num" val="0.1"/>
        <cfvo type="num" val="0.11999899999999999"/>
      </iconSet>
    </cfRule>
  </conditionalFormatting>
  <conditionalFormatting sqref="C33">
    <cfRule type="iconSet" priority="3">
      <iconSet iconSet="3Symbols" showValue="0" reverse="1">
        <cfvo type="percent" val="0"/>
        <cfvo type="num" val="100"/>
        <cfvo type="num" val="101"/>
      </iconSet>
    </cfRule>
  </conditionalFormatting>
  <conditionalFormatting sqref="J74:J82">
    <cfRule type="top10" dxfId="1" priority="2" percent="1" rank="1"/>
  </conditionalFormatting>
  <conditionalFormatting sqref="J120:J128">
    <cfRule type="top10" dxfId="0" priority="1" percent="1" rank="1"/>
  </conditionalFormatting>
  <dataValidations count="1">
    <dataValidation type="list" allowBlank="1" showInputMessage="1" showErrorMessage="1" sqref="E12">
      <formula1>$A$143:$A$144</formula1>
    </dataValidation>
  </dataValidations>
  <pageMargins left="0.7" right="0.86458333333333337" top="0.75" bottom="0.75" header="0.3" footer="0.3"/>
  <pageSetup orientation="portrait" r:id="rId1"/>
  <headerFooter>
    <oddFooter>&amp;LMaryland Department of the Environment
Dam Safety Division&amp;RDam Breach Worksheet for Earthen Dams
May 2018</oddFooter>
  </headerFooter>
  <drawing r:id="rId2"/>
  <legacyDrawing r:id="rId3"/>
  <oleObjects>
    <oleObject progId="Equation.3" shapeId="1028" r:id="rId4"/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1B838F70A9CF438D7FF1F20AA97B58" ma:contentTypeVersion="24" ma:contentTypeDescription="Create a new document." ma:contentTypeScope="" ma:versionID="c29e920151f3afd27268eb6fb892d7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1c3a5fe40b69cf375f6490498fc6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8ED2F8-B25E-494E-92D2-7176C414183A}"/>
</file>

<file path=customXml/itemProps2.xml><?xml version="1.0" encoding="utf-8"?>
<ds:datastoreItem xmlns:ds="http://schemas.openxmlformats.org/officeDocument/2006/customXml" ds:itemID="{A21BACF0-A860-4953-BD77-A1BB2882267F}"/>
</file>

<file path=customXml/itemProps3.xml><?xml version="1.0" encoding="utf-8"?>
<ds:datastoreItem xmlns:ds="http://schemas.openxmlformats.org/officeDocument/2006/customXml" ds:itemID="{EFB15FF2-F3EC-45FA-8955-EAD35D193E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John Roche</dc:creator>
  <cp:lastModifiedBy>JTR</cp:lastModifiedBy>
  <cp:lastPrinted>2018-05-04T15:37:22Z</cp:lastPrinted>
  <dcterms:created xsi:type="dcterms:W3CDTF">2018-05-01T15:48:43Z</dcterms:created>
  <dcterms:modified xsi:type="dcterms:W3CDTF">2018-05-23T13:19:37Z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0x010100221B838F70A9CF438D7FF1F20AA97B58</vt:lpwstr>
  </property>
  <property fmtid="{D5CDD505-2E9C-101B-9397-08002B2CF9AE}" pid="6" name="PublishingRollupImage">
    <vt:lpwstr/>
  </property>
  <property fmtid="{D5CDD505-2E9C-101B-9397-08002B2CF9AE}" pid="7" name="PublishingContactEmail">
    <vt:lpwstr/>
  </property>
  <property fmtid="{D5CDD505-2E9C-101B-9397-08002B2CF9AE}" pid="9" name="PublishingVariationRelationshipLinkFieldID">
    <vt:lpwstr>, </vt:lpwstr>
  </property>
  <property fmtid="{D5CDD505-2E9C-101B-9397-08002B2CF9AE}" pid="11" name="Comments">
    <vt:lpwstr/>
  </property>
  <property fmtid="{D5CDD505-2E9C-101B-9397-08002B2CF9AE}" pid="12" name="PublishingPageLayout">
    <vt:lpwstr/>
  </property>
  <property fmtid="{D5CDD505-2E9C-101B-9397-08002B2CF9AE}" pid="13" name="Audience">
    <vt:lpwstr/>
  </property>
  <property fmtid="{D5CDD505-2E9C-101B-9397-08002B2CF9AE}" pid="15" name="PublishingContactPicture">
    <vt:lpwstr/>
  </property>
  <property fmtid="{D5CDD505-2E9C-101B-9397-08002B2CF9AE}" pid="17" name="PublishingContactName">
    <vt:lpwstr/>
  </property>
</Properties>
</file>