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Sheet1!$A$4:$O$35</definedName>
  </definedNames>
  <calcPr calcId="125725"/>
</workbook>
</file>

<file path=xl/calcChain.xml><?xml version="1.0" encoding="utf-8"?>
<calcChain xmlns="http://schemas.openxmlformats.org/spreadsheetml/2006/main">
  <c r="K42" i="1"/>
  <c r="K41"/>
  <c r="K40"/>
  <c r="K39"/>
  <c r="M9"/>
  <c r="E65"/>
  <c r="D65"/>
  <c r="E64"/>
  <c r="D64"/>
  <c r="E63"/>
  <c r="J63" s="1"/>
  <c r="D63"/>
  <c r="E62"/>
  <c r="D62"/>
  <c r="J65"/>
  <c r="J64"/>
  <c r="J62"/>
  <c r="D61"/>
  <c r="K14"/>
  <c r="J14"/>
  <c r="I14"/>
  <c r="H14"/>
  <c r="G14"/>
  <c r="K13"/>
  <c r="J13"/>
  <c r="I13"/>
  <c r="M13" s="1"/>
  <c r="H13"/>
  <c r="G13"/>
  <c r="K12"/>
  <c r="J12"/>
  <c r="I12"/>
  <c r="M12" s="1"/>
  <c r="H12"/>
  <c r="G12"/>
  <c r="K11"/>
  <c r="J11"/>
  <c r="I11"/>
  <c r="M11" s="1"/>
  <c r="H11"/>
  <c r="G11"/>
  <c r="E14"/>
  <c r="D14"/>
  <c r="E13"/>
  <c r="D13"/>
  <c r="E12"/>
  <c r="D12"/>
  <c r="E11"/>
  <c r="D11"/>
  <c r="E61" l="1"/>
  <c r="J61" s="1"/>
  <c r="L61" s="1"/>
  <c r="L66" s="1"/>
  <c r="G10"/>
  <c r="G9"/>
  <c r="G8"/>
  <c r="D10"/>
  <c r="E10" s="1"/>
  <c r="H10" s="1"/>
  <c r="D9"/>
  <c r="E9" s="1"/>
  <c r="H9" s="1"/>
  <c r="D8"/>
  <c r="E8" s="1"/>
  <c r="H8" s="1"/>
  <c r="I8" s="1"/>
  <c r="J8" s="1"/>
  <c r="K8" s="1"/>
  <c r="E42"/>
  <c r="D42"/>
  <c r="G42" s="1"/>
  <c r="E41"/>
  <c r="D41"/>
  <c r="I41" s="1"/>
  <c r="E40"/>
  <c r="D40"/>
  <c r="H40" s="1"/>
  <c r="D39"/>
  <c r="G39" s="1"/>
  <c r="D38"/>
  <c r="E38" s="1"/>
  <c r="H41" l="1"/>
  <c r="J66"/>
  <c r="M14"/>
  <c r="I42"/>
  <c r="G40"/>
  <c r="I9"/>
  <c r="I39"/>
  <c r="G41"/>
  <c r="H42"/>
  <c r="E39"/>
  <c r="H39" s="1"/>
  <c r="I40"/>
  <c r="I10"/>
  <c r="J10" s="1"/>
  <c r="K10" s="1"/>
  <c r="G38"/>
  <c r="H38" s="1"/>
  <c r="K38" s="1"/>
  <c r="J9" l="1"/>
  <c r="K9" s="1"/>
  <c r="K15" s="1"/>
  <c r="I38"/>
  <c r="K43"/>
  <c r="I15"/>
  <c r="I43" l="1"/>
  <c r="H43"/>
</calcChain>
</file>

<file path=xl/sharedStrings.xml><?xml version="1.0" encoding="utf-8"?>
<sst xmlns="http://schemas.openxmlformats.org/spreadsheetml/2006/main" count="140" uniqueCount="83">
  <si>
    <t>I%</t>
  </si>
  <si>
    <t>Rv</t>
  </si>
  <si>
    <t>A</t>
  </si>
  <si>
    <t>B</t>
  </si>
  <si>
    <t>C</t>
  </si>
  <si>
    <t>D</t>
  </si>
  <si>
    <t>TOTAL:</t>
  </si>
  <si>
    <t>BMP</t>
  </si>
  <si>
    <t>(acres)</t>
  </si>
  <si>
    <t>(cf)</t>
  </si>
  <si>
    <t>(in)</t>
  </si>
  <si>
    <t>DA to BMP</t>
  </si>
  <si>
    <t xml:space="preserve">Proposed Ai to BMP  </t>
  </si>
  <si>
    <t>PROVIDED ESDv</t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</si>
  <si>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Achieved</t>
    </r>
  </si>
  <si>
    <r>
      <t>Effective Impervious Area Treated         [P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=1 inch is 100%]</t>
    </r>
  </si>
  <si>
    <t>cf</t>
  </si>
  <si>
    <t>E</t>
  </si>
  <si>
    <t>F</t>
  </si>
  <si>
    <t>G</t>
  </si>
  <si>
    <t>H</t>
  </si>
  <si>
    <t>I</t>
  </si>
  <si>
    <t>J</t>
  </si>
  <si>
    <t>K</t>
  </si>
  <si>
    <r>
      <t>ESDv based on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2.6 and DA to BMP</t>
    </r>
  </si>
  <si>
    <t>ESDv provided based on size of BMP</t>
  </si>
  <si>
    <t>Column I:  The smaller of G vs. H determines the treated ESDv.</t>
  </si>
  <si>
    <r>
      <t>Column J: 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achieved = ESDv/(Rv)(A) </t>
    </r>
    <r>
      <rPr>
        <sz val="11"/>
        <color theme="1"/>
        <rFont val="Calibri"/>
        <family val="2"/>
      </rPr>
      <t>→J=I(12 in/ft)/(E)(B)(43,560 ac/sf).</t>
    </r>
  </si>
  <si>
    <r>
      <t>Column H:  ESDv based on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2.6 inches is the maximum ESDv the BMP can provide.</t>
    </r>
  </si>
  <si>
    <t>Column F:  Provided Surface Storage = the actual storage volume from the top of media to the invert of the outlet.</t>
  </si>
  <si>
    <r>
      <t>Column K:  Effective Impervious Area Treated is the equivalent amount of impervious area receiving full treatment by pro-rating partial treatment (i.e. P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&lt; 1 inch). </t>
    </r>
  </si>
  <si>
    <t xml:space="preserve">Column G:  ESDv provided based on size of BMP is a function of the design criteria for the BMP.  For BMPs requiring min. 75% surface storage, G = F/0.75.  </t>
  </si>
  <si>
    <r>
      <t xml:space="preserve">                      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≥ 1.0 inch is considered 100% water quality treatment.  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= 1.0 inch and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2.6 inch have the same Effective Impervious Area Treated. </t>
    </r>
  </si>
  <si>
    <r>
      <t xml:space="preserve">                       If P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≥ 1.0 then K = C.  If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&lt; 1.0 then K = C x J.</t>
    </r>
  </si>
  <si>
    <t>Provided Surface Storage</t>
  </si>
  <si>
    <t>(sf)</t>
  </si>
  <si>
    <t>Surface Area of Swale Bottom, Af</t>
  </si>
  <si>
    <t>DA to GS</t>
  </si>
  <si>
    <t xml:space="preserve">Proposed Ai to GS  </t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</si>
  <si>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Achieved </t>
    </r>
    <r>
      <rPr>
        <sz val="9"/>
        <color theme="1"/>
        <rFont val="Calibri"/>
        <family val="2"/>
        <scheme val="minor"/>
      </rPr>
      <t>= 10 in x Af/DA</t>
    </r>
  </si>
  <si>
    <r>
      <t>PROVIDED ESDv</t>
    </r>
    <r>
      <rPr>
        <sz val="9"/>
        <color theme="1"/>
        <rFont val="Calibri"/>
        <family val="2"/>
        <scheme val="minor"/>
      </rPr>
      <t xml:space="preserve"> = achieved P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x Rv x DA/12in/ft</t>
    </r>
  </si>
  <si>
    <t>TOTAL</t>
  </si>
  <si>
    <t>#1</t>
  </si>
  <si>
    <t>#2</t>
  </si>
  <si>
    <t>ac</t>
  </si>
  <si>
    <r>
      <t>Column G: 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Achieved = 10 in x Af/DA </t>
    </r>
    <r>
      <rPr>
        <sz val="11"/>
        <color theme="1"/>
        <rFont val="Calibri"/>
        <family val="2"/>
      </rPr>
      <t>→ G = (10in)(F)/(B)(43,560 sf/ac)</t>
    </r>
  </si>
  <si>
    <r>
      <t>Column H: Provided ESDv = achieved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x Rv x DA/12in/ft </t>
    </r>
    <r>
      <rPr>
        <sz val="11"/>
        <color theme="1"/>
        <rFont val="Calibri"/>
        <family val="2"/>
      </rPr>
      <t>→ = (G)(E)(B)(43,560 sf/ac)/(12 in/ft) for P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up to 2.6 inches.</t>
    </r>
  </si>
  <si>
    <r>
      <t>Column I:  Effective Impervious Area Treated is the equivalent amount of impervious area receiving full treatment by pro-rating partial treatment (i.e. P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&lt; 1 inch). </t>
    </r>
  </si>
  <si>
    <r>
      <t xml:space="preserve">                       If P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≥ 1.0 then I = C.  If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&lt; 1.0 then I = C x G.</t>
    </r>
  </si>
  <si>
    <t>MB-1</t>
  </si>
  <si>
    <t>MB-2</t>
  </si>
  <si>
    <t>SGW-1</t>
  </si>
  <si>
    <r>
      <t>ACHIEVED P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,TREATED ESDv, and TREATED Re</t>
    </r>
    <r>
      <rPr>
        <b/>
        <vertAlign val="subscript"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 for GRASS SWALES</t>
    </r>
  </si>
  <si>
    <r>
      <t>PROVIDED
RECHARGE
VOLUME
Re</t>
    </r>
    <r>
      <rPr>
        <vertAlign val="subscript"/>
        <sz val="11"/>
        <color theme="1"/>
        <rFont val="Calibri"/>
        <family val="2"/>
        <scheme val="minor"/>
      </rPr>
      <t>V</t>
    </r>
  </si>
  <si>
    <t>Column J: Weighted Soil Specifice Recharge Factor is dependent on Hydrologic Soil Group.  Use value from Step 9 of SWM Calculator.</t>
  </si>
  <si>
    <t>L</t>
  </si>
  <si>
    <t>M</t>
  </si>
  <si>
    <t xml:space="preserve">Weighted
Soil Specific
Recharge Factor
S
</t>
  </si>
  <si>
    <t xml:space="preserve">Weighted
Soil Specific
Recharge
Factor
S
</t>
  </si>
  <si>
    <t>= vol. below underdrain</t>
  </si>
  <si>
    <t>Column L: Weighted Soil Specifice Recharge Factor is dependent on Hydrologic Soil Group.  Use value from Step 9 of SWM Calculator.</t>
  </si>
  <si>
    <r>
      <t>PROVIDED TREATMENT: ACHIEVED P</t>
    </r>
    <r>
      <rPr>
        <b/>
        <vertAlign val="subscript"/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, TREATED ESDv, AND TREATED Re</t>
    </r>
    <r>
      <rPr>
        <b/>
        <vertAlign val="subscript"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 FOR BMPs WITH STORAGE</t>
    </r>
  </si>
  <si>
    <r>
      <t xml:space="preserve">                       For BMPs with underdrain (except SGWs), provided Re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is equal to the storage provided below the underdrain in the media voids.</t>
    </r>
  </si>
  <si>
    <r>
      <t>ACHIEVED P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,TREATED ESDv, and TREATED Re</t>
    </r>
    <r>
      <rPr>
        <b/>
        <vertAlign val="subscript"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 for DISCONNECTIONS</t>
    </r>
  </si>
  <si>
    <t>DISCONNECTION</t>
  </si>
  <si>
    <t>GRASS SWALE</t>
  </si>
  <si>
    <t>non-roof top #1</t>
  </si>
  <si>
    <t>DA to disconnect</t>
  </si>
  <si>
    <t xml:space="preserve">Proposed Ai to
disconn.  </t>
  </si>
  <si>
    <t>Disconnection
Length</t>
  </si>
  <si>
    <t>Contributing
Length</t>
  </si>
  <si>
    <t>(ft)</t>
  </si>
  <si>
    <t>Ratio</t>
  </si>
  <si>
    <r>
      <t xml:space="preserve">Column D:  </t>
    </r>
    <r>
      <rPr>
        <sz val="11"/>
        <color theme="1"/>
        <rFont val="Times"/>
        <family val="1"/>
      </rPr>
      <t>I</t>
    </r>
    <r>
      <rPr>
        <sz val="11"/>
        <color theme="1"/>
        <rFont val="Calibri"/>
        <family val="2"/>
        <scheme val="minor"/>
      </rPr>
      <t xml:space="preserve">% = Ai/DA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 D = C/B</t>
    </r>
  </si>
  <si>
    <r>
      <t>Column E:  Rv = 0.9(</t>
    </r>
    <r>
      <rPr>
        <sz val="11"/>
        <color theme="1"/>
        <rFont val="Times"/>
        <family val="1"/>
      </rPr>
      <t>I</t>
    </r>
    <r>
      <rPr>
        <sz val="11"/>
        <color theme="1"/>
        <rFont val="Calibri"/>
        <family val="2"/>
        <scheme val="minor"/>
      </rPr>
      <t xml:space="preserve">%) + 0.05 </t>
    </r>
    <r>
      <rPr>
        <sz val="11"/>
        <color theme="1"/>
        <rFont val="Calibri"/>
        <family val="2"/>
      </rPr>
      <t>→ E = 0.9D + 0.05</t>
    </r>
  </si>
  <si>
    <r>
      <rPr>
        <sz val="11"/>
        <color theme="1"/>
        <rFont val="Times"/>
        <family val="1"/>
      </rPr>
      <t>I</t>
    </r>
    <r>
      <rPr>
        <sz val="11"/>
        <color theme="1"/>
        <rFont val="Calibri"/>
        <family val="2"/>
        <scheme val="minor"/>
      </rPr>
      <t>%</t>
    </r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</si>
  <si>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treated based on Tables 5.6 or 5.7</t>
    </r>
  </si>
  <si>
    <t>PROVIDED
ESDv</t>
  </si>
  <si>
    <t>2.5:1</t>
  </si>
  <si>
    <r>
      <t>This spreadsheet is unprotected and intended to be used as a template for correctly calculating the achieved 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provided ESDv, and provided Re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.  If the user edits the formatting, please assure that the printed version include the SWM report shows the equations used in the calculations as well as an explanation.  
</t>
    </r>
  </si>
  <si>
    <r>
      <t>Column M: For BMPs without underdrain and submerged gravel wetlands, provided Re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= S x provided WQv. </t>
    </r>
  </si>
  <si>
    <t>sum</t>
  </si>
  <si>
    <r>
      <t>Column K: For grass swales, provided Re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= S x provided WQv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</si>
</sst>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2" fillId="0" borderId="0" xfId="0" applyNumberFormat="1" applyFont="1" applyBorder="1"/>
    <xf numFmtId="0" fontId="2" fillId="0" borderId="0" xfId="0" applyFont="1" applyBorder="1"/>
    <xf numFmtId="2" fontId="0" fillId="0" borderId="6" xfId="0" applyNumberFormat="1" applyBorder="1" applyProtection="1"/>
    <xf numFmtId="0" fontId="0" fillId="0" borderId="19" xfId="0" applyBorder="1"/>
    <xf numFmtId="0" fontId="2" fillId="0" borderId="19" xfId="0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2" fillId="0" borderId="23" xfId="0" applyFont="1" applyBorder="1" applyAlignment="1">
      <alignment horizontal="right"/>
    </xf>
    <xf numFmtId="165" fontId="2" fillId="0" borderId="23" xfId="0" applyNumberFormat="1" applyFont="1" applyBorder="1" applyAlignment="1">
      <alignment horizontal="right"/>
    </xf>
    <xf numFmtId="2" fontId="0" fillId="0" borderId="4" xfId="0" applyNumberFormat="1" applyBorder="1" applyProtection="1"/>
    <xf numFmtId="1" fontId="0" fillId="2" borderId="4" xfId="0" applyNumberFormat="1" applyFill="1" applyBorder="1" applyProtection="1">
      <protection locked="0"/>
    </xf>
    <xf numFmtId="0" fontId="0" fillId="0" borderId="18" xfId="0" applyBorder="1" applyAlignment="1"/>
    <xf numFmtId="0" fontId="0" fillId="0" borderId="0" xfId="0" applyAlignment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17" xfId="0" applyBorder="1"/>
    <xf numFmtId="0" fontId="0" fillId="0" borderId="21" xfId="0" applyBorder="1" applyAlignment="1"/>
    <xf numFmtId="0" fontId="0" fillId="0" borderId="22" xfId="0" applyBorder="1" applyAlignment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30" xfId="0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0" fillId="0" borderId="0" xfId="0" applyNumberFormat="1" applyBorder="1"/>
    <xf numFmtId="0" fontId="0" fillId="0" borderId="32" xfId="0" applyBorder="1" applyAlignment="1">
      <alignment horizontal="center" vertical="center" wrapText="1"/>
    </xf>
    <xf numFmtId="2" fontId="0" fillId="0" borderId="33" xfId="0" applyNumberFormat="1" applyBorder="1" applyProtection="1"/>
    <xf numFmtId="2" fontId="0" fillId="0" borderId="31" xfId="0" applyNumberFormat="1" applyBorder="1" applyProtection="1"/>
    <xf numFmtId="0" fontId="0" fillId="0" borderId="29" xfId="0" applyBorder="1" applyAlignment="1">
      <alignment horizontal="center" vertical="center" wrapText="1"/>
    </xf>
    <xf numFmtId="2" fontId="0" fillId="2" borderId="34" xfId="0" applyNumberFormat="1" applyFill="1" applyBorder="1" applyProtection="1"/>
    <xf numFmtId="2" fontId="0" fillId="2" borderId="2" xfId="0" applyNumberFormat="1" applyFill="1" applyBorder="1" applyProtection="1"/>
    <xf numFmtId="2" fontId="0" fillId="2" borderId="4" xfId="0" applyNumberFormat="1" applyFill="1" applyBorder="1" applyProtection="1"/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4" fontId="2" fillId="0" borderId="38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0" borderId="6" xfId="0" applyNumberFormat="1" applyBorder="1" applyAlignment="1">
      <alignment horizontal="right" vertical="center"/>
    </xf>
    <xf numFmtId="2" fontId="0" fillId="2" borderId="34" xfId="0" applyNumberForma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0" borderId="4" xfId="0" applyNumberFormat="1" applyBorder="1" applyAlignment="1">
      <alignment horizontal="right" vertical="center"/>
    </xf>
    <xf numFmtId="2" fontId="0" fillId="2" borderId="4" xfId="0" applyNumberFormat="1" applyFill="1" applyBorder="1" applyAlignment="1" applyProtection="1">
      <alignment horizontal="right" vertical="center"/>
    </xf>
    <xf numFmtId="165" fontId="2" fillId="0" borderId="23" xfId="0" applyNumberFormat="1" applyFont="1" applyBorder="1"/>
    <xf numFmtId="2" fontId="2" fillId="0" borderId="23" xfId="0" applyNumberFormat="1" applyFont="1" applyBorder="1"/>
    <xf numFmtId="0" fontId="9" fillId="0" borderId="13" xfId="0" applyFont="1" applyBorder="1" applyAlignment="1">
      <alignment horizontal="center" vertical="center" wrapText="1"/>
    </xf>
    <xf numFmtId="2" fontId="0" fillId="2" borderId="6" xfId="0" applyNumberFormat="1" applyFill="1" applyBorder="1" applyProtection="1"/>
    <xf numFmtId="49" fontId="0" fillId="2" borderId="6" xfId="0" applyNumberFormat="1" applyFill="1" applyBorder="1" applyAlignment="1" applyProtection="1">
      <alignment horizontal="right" vertical="center"/>
    </xf>
    <xf numFmtId="49" fontId="0" fillId="2" borderId="4" xfId="0" applyNumberFormat="1" applyFill="1" applyBorder="1" applyAlignment="1" applyProtection="1">
      <alignment horizontal="right" vertical="center"/>
    </xf>
    <xf numFmtId="2" fontId="0" fillId="2" borderId="39" xfId="0" applyNumberFormat="1" applyFill="1" applyBorder="1" applyProtection="1"/>
    <xf numFmtId="0" fontId="0" fillId="0" borderId="4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7" xfId="0" applyBorder="1" applyAlignment="1">
      <alignment horizontal="center" wrapText="1"/>
    </xf>
    <xf numFmtId="0" fontId="0" fillId="0" borderId="17" xfId="0" applyBorder="1" applyAlignment="1"/>
    <xf numFmtId="0" fontId="0" fillId="0" borderId="0" xfId="0" applyBorder="1" applyAlignment="1"/>
    <xf numFmtId="0" fontId="0" fillId="0" borderId="29" xfId="0" applyBorder="1" applyAlignment="1"/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/>
    <xf numFmtId="0" fontId="0" fillId="0" borderId="0" xfId="0" applyAlignme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right" vertical="center"/>
    </xf>
    <xf numFmtId="1" fontId="0" fillId="0" borderId="6" xfId="0" applyNumberFormat="1" applyBorder="1" applyAlignment="1">
      <alignment horizontal="right" vertical="center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right" vertical="center"/>
    </xf>
    <xf numFmtId="1" fontId="0" fillId="0" borderId="4" xfId="0" applyNumberFormat="1" applyBorder="1" applyAlignment="1">
      <alignment horizontal="right" vertical="center"/>
    </xf>
    <xf numFmtId="3" fontId="2" fillId="0" borderId="23" xfId="0" applyNumberFormat="1" applyFont="1" applyBorder="1"/>
    <xf numFmtId="1" fontId="0" fillId="2" borderId="35" xfId="0" applyNumberFormat="1" applyFill="1" applyBorder="1" applyAlignment="1">
      <alignment horizontal="right" vertical="center" wrapText="1"/>
    </xf>
    <xf numFmtId="1" fontId="0" fillId="2" borderId="40" xfId="0" applyNumberFormat="1" applyFill="1" applyBorder="1" applyAlignment="1">
      <alignment horizontal="right" vertical="center"/>
    </xf>
    <xf numFmtId="1" fontId="0" fillId="2" borderId="24" xfId="0" applyNumberFormat="1" applyFill="1" applyBorder="1" applyAlignment="1">
      <alignment horizontal="right" vertical="center" wrapText="1"/>
    </xf>
    <xf numFmtId="1" fontId="0" fillId="2" borderId="24" xfId="0" applyNumberFormat="1" applyFill="1" applyBorder="1" applyAlignment="1">
      <alignment horizontal="right" vertical="center"/>
    </xf>
    <xf numFmtId="1" fontId="0" fillId="2" borderId="20" xfId="0" applyNumberFormat="1" applyFill="1" applyBorder="1" applyAlignment="1">
      <alignment horizontal="right" vertical="center"/>
    </xf>
    <xf numFmtId="1" fontId="2" fillId="0" borderId="23" xfId="0" applyNumberFormat="1" applyFont="1" applyBorder="1" applyAlignment="1">
      <alignment horizontal="right"/>
    </xf>
    <xf numFmtId="1" fontId="2" fillId="0" borderId="19" xfId="0" applyNumberFormat="1" applyFont="1" applyBorder="1" applyAlignment="1">
      <alignment horizontal="right" vertical="center"/>
    </xf>
    <xf numFmtId="1" fontId="0" fillId="0" borderId="6" xfId="0" applyNumberFormat="1" applyBorder="1" applyProtection="1"/>
    <xf numFmtId="1" fontId="0" fillId="0" borderId="4" xfId="0" applyNumberFormat="1" applyBorder="1" applyProtection="1"/>
    <xf numFmtId="1" fontId="2" fillId="0" borderId="19" xfId="0" applyNumberFormat="1" applyFont="1" applyBorder="1" applyAlignment="1">
      <alignment horizontal="right"/>
    </xf>
    <xf numFmtId="1" fontId="2" fillId="0" borderId="38" xfId="0" applyNumberFormat="1" applyFont="1" applyBorder="1" applyAlignment="1">
      <alignment horizontal="right"/>
    </xf>
    <xf numFmtId="1" fontId="0" fillId="0" borderId="6" xfId="0" applyNumberFormat="1" applyFill="1" applyBorder="1" applyProtection="1"/>
    <xf numFmtId="1" fontId="0" fillId="0" borderId="2" xfId="0" applyNumberFormat="1" applyFill="1" applyBorder="1" applyProtection="1"/>
    <xf numFmtId="1" fontId="0" fillId="0" borderId="39" xfId="0" applyNumberFormat="1" applyFill="1" applyBorder="1" applyProtection="1"/>
    <xf numFmtId="1" fontId="0" fillId="0" borderId="7" xfId="0" applyNumberFormat="1" applyBorder="1"/>
    <xf numFmtId="1" fontId="0" fillId="0" borderId="24" xfId="0" applyNumberFormat="1" applyBorder="1"/>
    <xf numFmtId="1" fontId="0" fillId="0" borderId="40" xfId="0" applyNumberFormat="1" applyBorder="1"/>
    <xf numFmtId="1" fontId="0" fillId="0" borderId="35" xfId="0" applyNumberFormat="1" applyBorder="1"/>
    <xf numFmtId="1" fontId="0" fillId="0" borderId="20" xfId="0" applyNumberFormat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0"/>
  <sheetViews>
    <sheetView tabSelected="1" zoomScaleNormal="100" workbookViewId="0">
      <selection activeCell="K41" sqref="K41"/>
    </sheetView>
  </sheetViews>
  <sheetFormatPr defaultRowHeight="15"/>
  <cols>
    <col min="1" max="1" width="16.140625" customWidth="1"/>
    <col min="2" max="2" width="10.5703125" customWidth="1"/>
    <col min="5" max="5" width="10.5703125" customWidth="1"/>
    <col min="6" max="6" width="14.140625" customWidth="1"/>
    <col min="7" max="7" width="12.42578125" customWidth="1"/>
    <col min="8" max="8" width="11" customWidth="1"/>
    <col min="9" max="9" width="12.85546875" customWidth="1"/>
    <col min="10" max="10" width="10.28515625" customWidth="1"/>
    <col min="11" max="11" width="13.85546875" customWidth="1"/>
    <col min="12" max="13" width="12" customWidth="1"/>
    <col min="14" max="14" width="9.140625" customWidth="1"/>
  </cols>
  <sheetData>
    <row r="1" spans="1:15">
      <c r="A1" s="86" t="s">
        <v>79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20.2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5.75" thickBot="1"/>
    <row r="4" spans="1:15" ht="28.5" customHeight="1" thickBot="1">
      <c r="A4" s="82" t="s">
        <v>61</v>
      </c>
      <c r="B4" s="83"/>
      <c r="C4" s="83"/>
      <c r="D4" s="83"/>
      <c r="E4" s="84"/>
      <c r="F4" s="84"/>
      <c r="G4" s="84"/>
      <c r="H4" s="84"/>
      <c r="I4" s="28"/>
      <c r="J4" s="28"/>
      <c r="K4" s="28"/>
      <c r="L4" s="28"/>
      <c r="M4" s="28"/>
      <c r="N4" s="28"/>
      <c r="O4" s="29"/>
    </row>
    <row r="5" spans="1:15" ht="15.75" thickBot="1">
      <c r="A5" s="5" t="s">
        <v>2</v>
      </c>
      <c r="B5" s="6" t="s">
        <v>3</v>
      </c>
      <c r="C5" s="6" t="s">
        <v>4</v>
      </c>
      <c r="D5" s="6" t="s">
        <v>5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52" t="s">
        <v>55</v>
      </c>
      <c r="M5" s="49" t="s">
        <v>56</v>
      </c>
      <c r="N5" s="30"/>
      <c r="O5" s="31"/>
    </row>
    <row r="6" spans="1:15" ht="87.75" customHeight="1">
      <c r="A6" s="1" t="s">
        <v>7</v>
      </c>
      <c r="B6" s="2" t="s">
        <v>11</v>
      </c>
      <c r="C6" s="2" t="s">
        <v>12</v>
      </c>
      <c r="D6" s="2" t="s">
        <v>75</v>
      </c>
      <c r="E6" s="2" t="s">
        <v>1</v>
      </c>
      <c r="F6" s="2" t="s">
        <v>34</v>
      </c>
      <c r="G6" s="2" t="s">
        <v>25</v>
      </c>
      <c r="H6" s="2" t="s">
        <v>24</v>
      </c>
      <c r="I6" s="2" t="s">
        <v>13</v>
      </c>
      <c r="J6" s="2" t="s">
        <v>14</v>
      </c>
      <c r="K6" s="2" t="s">
        <v>15</v>
      </c>
      <c r="L6" s="55" t="s">
        <v>58</v>
      </c>
      <c r="M6" s="45" t="s">
        <v>53</v>
      </c>
      <c r="N6" s="30"/>
      <c r="O6" s="31"/>
    </row>
    <row r="7" spans="1:15" ht="16.5" customHeight="1" thickBot="1">
      <c r="A7" s="3"/>
      <c r="B7" s="4" t="s">
        <v>8</v>
      </c>
      <c r="C7" s="4" t="s">
        <v>8</v>
      </c>
      <c r="D7" s="4"/>
      <c r="E7" s="4"/>
      <c r="F7" s="4" t="s">
        <v>9</v>
      </c>
      <c r="G7" s="4" t="s">
        <v>9</v>
      </c>
      <c r="H7" s="4" t="s">
        <v>9</v>
      </c>
      <c r="I7" s="4" t="s">
        <v>9</v>
      </c>
      <c r="J7" s="4" t="s">
        <v>10</v>
      </c>
      <c r="K7" s="4" t="s">
        <v>8</v>
      </c>
      <c r="L7" s="56"/>
      <c r="M7" s="50" t="s">
        <v>9</v>
      </c>
      <c r="N7" s="30"/>
      <c r="O7" s="31"/>
    </row>
    <row r="8" spans="1:15" ht="30">
      <c r="A8" s="57" t="s">
        <v>49</v>
      </c>
      <c r="B8" s="58">
        <v>0.35</v>
      </c>
      <c r="C8" s="58">
        <v>0.28999999999999998</v>
      </c>
      <c r="D8" s="59">
        <f>IF(C8="","",C8/B8)</f>
        <v>0.82857142857142851</v>
      </c>
      <c r="E8" s="59">
        <f>IF(C8="","",0.9*D8+0.05)</f>
        <v>0.79571428571428571</v>
      </c>
      <c r="F8" s="88">
        <v>1000</v>
      </c>
      <c r="G8" s="89">
        <f>IF(C8="","",F8/0.75)</f>
        <v>1333.3333333333333</v>
      </c>
      <c r="H8" s="90">
        <f>IF(C8="","",2.6*B8*E8*43560/12)</f>
        <v>2628.4829999999997</v>
      </c>
      <c r="I8" s="90">
        <f>IF(C8="","",MIN(G8,H8))</f>
        <v>1333.3333333333333</v>
      </c>
      <c r="J8" s="59">
        <f>IF(C8="","",I8*12/(E8*B8*43560))</f>
        <v>1.3188849487201046</v>
      </c>
      <c r="K8" s="59">
        <f>IF(C8="","",IF(J8&gt;=1,C8,(C8*J8)))</f>
        <v>0.28999999999999998</v>
      </c>
      <c r="L8" s="60">
        <v>0.26</v>
      </c>
      <c r="M8" s="96" t="s">
        <v>59</v>
      </c>
      <c r="N8" s="30"/>
      <c r="O8" s="31"/>
    </row>
    <row r="9" spans="1:15">
      <c r="A9" s="61" t="s">
        <v>51</v>
      </c>
      <c r="B9" s="62">
        <v>1.34</v>
      </c>
      <c r="C9" s="62">
        <v>0.8</v>
      </c>
      <c r="D9" s="59">
        <f t="shared" ref="D9:D10" si="0">IF(C9="","",C9/B9)</f>
        <v>0.59701492537313428</v>
      </c>
      <c r="E9" s="59">
        <f t="shared" ref="E9:E10" si="1">IF(C9="","",0.9*D9+0.05)</f>
        <v>0.58731343283582094</v>
      </c>
      <c r="F9" s="91">
        <v>800</v>
      </c>
      <c r="G9" s="89">
        <f t="shared" ref="G9:G10" si="2">IF(C9="","",F9/0.75)</f>
        <v>1066.6666666666667</v>
      </c>
      <c r="H9" s="90">
        <f t="shared" ref="H9:H10" si="3">IF(C9="","",2.6*B9*E9*43560/12)</f>
        <v>7427.706000000001</v>
      </c>
      <c r="I9" s="90">
        <f t="shared" ref="I9:I10" si="4">IF(C9="","",MIN(G9,H9))</f>
        <v>1066.6666666666667</v>
      </c>
      <c r="J9" s="59">
        <f>IF(C9="","",I9*12/(E9*B9*43560))</f>
        <v>0.37337683173423025</v>
      </c>
      <c r="K9" s="59">
        <f>IF(C9="","",IF(J9&gt;=1,C9,(C9*J9)))</f>
        <v>0.29870146538738424</v>
      </c>
      <c r="L9" s="63">
        <v>0.26</v>
      </c>
      <c r="M9" s="97">
        <f>IF(I9="","",(IF(J9&lt;1,I9*L9,(I9*L9/J9))))</f>
        <v>277.33333333333337</v>
      </c>
      <c r="N9" s="30"/>
      <c r="O9" s="31"/>
    </row>
    <row r="10" spans="1:15" ht="30">
      <c r="A10" s="61" t="s">
        <v>50</v>
      </c>
      <c r="B10" s="62">
        <v>0.48</v>
      </c>
      <c r="C10" s="62">
        <v>0.14000000000000001</v>
      </c>
      <c r="D10" s="59">
        <f t="shared" si="0"/>
        <v>0.29166666666666669</v>
      </c>
      <c r="E10" s="59">
        <f t="shared" si="1"/>
        <v>0.3125</v>
      </c>
      <c r="F10" s="91">
        <v>1255</v>
      </c>
      <c r="G10" s="89">
        <f t="shared" si="2"/>
        <v>1673.3333333333333</v>
      </c>
      <c r="H10" s="90">
        <f t="shared" si="3"/>
        <v>1415.7</v>
      </c>
      <c r="I10" s="90">
        <f t="shared" si="4"/>
        <v>1415.7</v>
      </c>
      <c r="J10" s="59">
        <f>IF(C10="","",I10*12/(E10*B10*43560))</f>
        <v>2.6</v>
      </c>
      <c r="K10" s="59">
        <f>IF(C10="","",IF(J10&gt;=1,C10,(C10*J10)))</f>
        <v>0.14000000000000001</v>
      </c>
      <c r="L10" s="63"/>
      <c r="M10" s="98" t="s">
        <v>59</v>
      </c>
      <c r="N10" s="30"/>
      <c r="O10" s="31"/>
    </row>
    <row r="11" spans="1:15">
      <c r="A11" s="61"/>
      <c r="B11" s="62"/>
      <c r="C11" s="62"/>
      <c r="D11" s="59" t="str">
        <f t="shared" ref="D11:D14" si="5">IF(C11="","",C11/B11)</f>
        <v/>
      </c>
      <c r="E11" s="59" t="str">
        <f t="shared" ref="E11:E14" si="6">IF(C11="","",0.9*D11+0.05)</f>
        <v/>
      </c>
      <c r="F11" s="91"/>
      <c r="G11" s="89" t="str">
        <f t="shared" ref="G11:G14" si="7">IF(C11="","",F11/0.75)</f>
        <v/>
      </c>
      <c r="H11" s="90" t="str">
        <f t="shared" ref="H11:H14" si="8">IF(C11="","",2.6*B11*E11*43560/12)</f>
        <v/>
      </c>
      <c r="I11" s="90" t="str">
        <f t="shared" ref="I11:I14" si="9">IF(C11="","",MIN(G11,H11))</f>
        <v/>
      </c>
      <c r="J11" s="59" t="str">
        <f t="shared" ref="J11:J14" si="10">IF(C11="","",I11*12/(E11*B11*43560))</f>
        <v/>
      </c>
      <c r="K11" s="59" t="str">
        <f t="shared" ref="K11:K14" si="11">IF(C11="","",IF(J11&gt;=1,C11,(C11*J11)))</f>
        <v/>
      </c>
      <c r="L11" s="63"/>
      <c r="M11" s="99" t="str">
        <f t="shared" ref="M9:M14" si="12">IF(I11="","",(I11*L11))</f>
        <v/>
      </c>
      <c r="N11" s="30"/>
      <c r="O11" s="31"/>
    </row>
    <row r="12" spans="1:15">
      <c r="A12" s="61"/>
      <c r="B12" s="62"/>
      <c r="C12" s="62"/>
      <c r="D12" s="59" t="str">
        <f t="shared" si="5"/>
        <v/>
      </c>
      <c r="E12" s="59" t="str">
        <f t="shared" si="6"/>
        <v/>
      </c>
      <c r="F12" s="91"/>
      <c r="G12" s="89" t="str">
        <f t="shared" si="7"/>
        <v/>
      </c>
      <c r="H12" s="90" t="str">
        <f t="shared" si="8"/>
        <v/>
      </c>
      <c r="I12" s="90" t="str">
        <f t="shared" si="9"/>
        <v/>
      </c>
      <c r="J12" s="59" t="str">
        <f t="shared" si="10"/>
        <v/>
      </c>
      <c r="K12" s="59" t="str">
        <f t="shared" si="11"/>
        <v/>
      </c>
      <c r="L12" s="63"/>
      <c r="M12" s="99" t="str">
        <f t="shared" si="12"/>
        <v/>
      </c>
      <c r="N12" s="30"/>
      <c r="O12" s="31"/>
    </row>
    <row r="13" spans="1:15">
      <c r="A13" s="61"/>
      <c r="B13" s="62"/>
      <c r="C13" s="62"/>
      <c r="D13" s="59" t="str">
        <f t="shared" si="5"/>
        <v/>
      </c>
      <c r="E13" s="59" t="str">
        <f t="shared" si="6"/>
        <v/>
      </c>
      <c r="F13" s="91"/>
      <c r="G13" s="89" t="str">
        <f t="shared" si="7"/>
        <v/>
      </c>
      <c r="H13" s="90" t="str">
        <f t="shared" si="8"/>
        <v/>
      </c>
      <c r="I13" s="90" t="str">
        <f t="shared" si="9"/>
        <v/>
      </c>
      <c r="J13" s="59" t="str">
        <f t="shared" si="10"/>
        <v/>
      </c>
      <c r="K13" s="59" t="str">
        <f t="shared" si="11"/>
        <v/>
      </c>
      <c r="L13" s="63"/>
      <c r="M13" s="99" t="str">
        <f t="shared" si="12"/>
        <v/>
      </c>
      <c r="N13" s="30"/>
      <c r="O13" s="31"/>
    </row>
    <row r="14" spans="1:15" ht="15.75" thickBot="1">
      <c r="A14" s="64"/>
      <c r="B14" s="65"/>
      <c r="C14" s="65"/>
      <c r="D14" s="66" t="str">
        <f t="shared" si="5"/>
        <v/>
      </c>
      <c r="E14" s="66" t="str">
        <f t="shared" si="6"/>
        <v/>
      </c>
      <c r="F14" s="92"/>
      <c r="G14" s="93" t="str">
        <f t="shared" si="7"/>
        <v/>
      </c>
      <c r="H14" s="94" t="str">
        <f t="shared" si="8"/>
        <v/>
      </c>
      <c r="I14" s="94" t="str">
        <f t="shared" si="9"/>
        <v/>
      </c>
      <c r="J14" s="66" t="str">
        <f t="shared" si="10"/>
        <v/>
      </c>
      <c r="K14" s="66" t="str">
        <f t="shared" si="11"/>
        <v/>
      </c>
      <c r="L14" s="67"/>
      <c r="M14" s="100" t="str">
        <f t="shared" si="12"/>
        <v/>
      </c>
      <c r="N14" s="30"/>
      <c r="O14" s="31"/>
    </row>
    <row r="15" spans="1:15" ht="28.5" customHeight="1">
      <c r="A15" s="32"/>
      <c r="B15" s="30"/>
      <c r="C15" s="30"/>
      <c r="D15" s="30"/>
      <c r="E15" s="30"/>
      <c r="F15" s="30"/>
      <c r="G15" s="30"/>
      <c r="H15" s="22" t="s">
        <v>6</v>
      </c>
      <c r="I15" s="95">
        <f>SUM(I8:I14)</f>
        <v>3815.7</v>
      </c>
      <c r="J15" s="68"/>
      <c r="K15" s="69">
        <f>SUM(K8:K14)</f>
        <v>0.72870146538738423</v>
      </c>
      <c r="L15" s="69"/>
      <c r="M15" s="101" t="s">
        <v>81</v>
      </c>
      <c r="N15" s="30"/>
      <c r="O15" s="31"/>
    </row>
    <row r="16" spans="1:15" ht="15.75" thickBot="1">
      <c r="A16" s="32"/>
      <c r="B16" s="30"/>
      <c r="C16" s="30"/>
      <c r="D16" s="30"/>
      <c r="E16" s="30"/>
      <c r="F16" s="30"/>
      <c r="G16" s="30"/>
      <c r="H16" s="15"/>
      <c r="I16" s="54" t="s">
        <v>16</v>
      </c>
      <c r="J16" s="15"/>
      <c r="K16" s="54" t="s">
        <v>44</v>
      </c>
      <c r="L16" s="15"/>
      <c r="M16" s="102" t="s">
        <v>16</v>
      </c>
      <c r="N16" s="30"/>
      <c r="O16" s="31"/>
    </row>
    <row r="17" spans="1:15">
      <c r="A17" s="32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 spans="1:15">
      <c r="A18" s="79" t="s">
        <v>73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1"/>
    </row>
    <row r="19" spans="1:15">
      <c r="A19" s="79" t="s">
        <v>74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</row>
    <row r="20" spans="1:15">
      <c r="A20" s="79" t="s">
        <v>29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1"/>
    </row>
    <row r="21" spans="1:15">
      <c r="A21" s="79" t="s">
        <v>31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1"/>
    </row>
    <row r="22" spans="1:15" ht="18">
      <c r="A22" s="79" t="s">
        <v>28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1"/>
    </row>
    <row r="23" spans="1:15">
      <c r="A23" s="79" t="s">
        <v>26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</row>
    <row r="24" spans="1:15" ht="18">
      <c r="A24" s="79" t="s">
        <v>27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/>
    </row>
    <row r="25" spans="1:15" ht="18">
      <c r="A25" s="79" t="s">
        <v>30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</row>
    <row r="26" spans="1:15" ht="18">
      <c r="A26" s="79" t="s">
        <v>32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</row>
    <row r="27" spans="1:15" ht="18">
      <c r="A27" s="79" t="s">
        <v>33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28" spans="1:15">
      <c r="A28" s="79" t="s">
        <v>60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1"/>
    </row>
    <row r="29" spans="1:15" ht="18">
      <c r="A29" s="79" t="s">
        <v>80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1"/>
    </row>
    <row r="30" spans="1:15" ht="18">
      <c r="A30" s="79" t="s">
        <v>62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1"/>
    </row>
    <row r="31" spans="1:15" ht="15.75" thickBot="1">
      <c r="A31" s="33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4"/>
    </row>
    <row r="32" spans="1:15">
      <c r="A32" s="8"/>
      <c r="B32" s="8"/>
      <c r="C32" s="8"/>
      <c r="D32" s="8"/>
      <c r="E32" s="8"/>
      <c r="F32" s="8"/>
      <c r="G32" s="8"/>
      <c r="H32" s="8"/>
      <c r="I32" s="8"/>
      <c r="J32" s="27"/>
      <c r="K32" s="8"/>
      <c r="L32" s="8"/>
      <c r="M32" s="8"/>
      <c r="N32" s="8"/>
      <c r="O32" s="8"/>
    </row>
    <row r="33" spans="1:15" ht="15.75" thickBot="1">
      <c r="A33" s="8"/>
      <c r="B33" s="8"/>
      <c r="C33" s="8"/>
      <c r="D33" s="8"/>
      <c r="E33" s="8"/>
      <c r="F33" s="8"/>
      <c r="G33" s="8"/>
      <c r="H33" s="8"/>
      <c r="I33" s="8"/>
      <c r="J33" s="27"/>
      <c r="K33" s="8"/>
      <c r="L33" s="8"/>
      <c r="M33" s="8"/>
      <c r="N33" s="8"/>
      <c r="O33" s="8"/>
    </row>
    <row r="34" spans="1:15" ht="27.75" customHeight="1" thickBot="1">
      <c r="A34" s="82" t="s">
        <v>52</v>
      </c>
      <c r="B34" s="83"/>
      <c r="C34" s="83"/>
      <c r="D34" s="83"/>
      <c r="E34" s="84"/>
      <c r="F34" s="84"/>
      <c r="G34" s="28"/>
      <c r="H34" s="28"/>
      <c r="I34" s="28"/>
      <c r="J34" s="28"/>
      <c r="K34" s="28"/>
      <c r="L34" s="28"/>
      <c r="M34" s="28"/>
      <c r="N34" s="28"/>
      <c r="O34" s="29"/>
    </row>
    <row r="35" spans="1:15" ht="15.75" thickBot="1">
      <c r="A35" s="5" t="s">
        <v>2</v>
      </c>
      <c r="B35" s="6" t="s">
        <v>3</v>
      </c>
      <c r="C35" s="6" t="s">
        <v>4</v>
      </c>
      <c r="D35" s="6" t="s">
        <v>5</v>
      </c>
      <c r="E35" s="6" t="s">
        <v>17</v>
      </c>
      <c r="F35" s="6" t="s">
        <v>18</v>
      </c>
      <c r="G35" s="6" t="s">
        <v>19</v>
      </c>
      <c r="H35" s="6" t="s">
        <v>20</v>
      </c>
      <c r="I35" s="6" t="s">
        <v>21</v>
      </c>
      <c r="J35" s="52" t="s">
        <v>22</v>
      </c>
      <c r="K35" s="49" t="s">
        <v>23</v>
      </c>
      <c r="L35" s="10"/>
      <c r="M35" s="30"/>
      <c r="N35" s="30"/>
      <c r="O35" s="31"/>
    </row>
    <row r="36" spans="1:15" ht="105">
      <c r="A36" s="1" t="s">
        <v>65</v>
      </c>
      <c r="B36" s="2" t="s">
        <v>37</v>
      </c>
      <c r="C36" s="2" t="s">
        <v>38</v>
      </c>
      <c r="D36" s="2" t="s">
        <v>75</v>
      </c>
      <c r="E36" s="2" t="s">
        <v>1</v>
      </c>
      <c r="F36" s="2" t="s">
        <v>36</v>
      </c>
      <c r="G36" s="2" t="s">
        <v>39</v>
      </c>
      <c r="H36" s="2" t="s">
        <v>40</v>
      </c>
      <c r="I36" s="42" t="s">
        <v>15</v>
      </c>
      <c r="J36" s="51" t="s">
        <v>57</v>
      </c>
      <c r="K36" s="45" t="s">
        <v>53</v>
      </c>
      <c r="L36" s="11"/>
      <c r="M36" s="30"/>
      <c r="N36" s="30"/>
      <c r="O36" s="31"/>
    </row>
    <row r="37" spans="1:15" ht="15.75" thickBot="1">
      <c r="A37" s="3"/>
      <c r="B37" s="4" t="s">
        <v>8</v>
      </c>
      <c r="C37" s="4" t="s">
        <v>8</v>
      </c>
      <c r="D37" s="4"/>
      <c r="E37" s="4"/>
      <c r="F37" s="4" t="s">
        <v>35</v>
      </c>
      <c r="G37" s="4" t="s">
        <v>10</v>
      </c>
      <c r="H37" s="4" t="s">
        <v>9</v>
      </c>
      <c r="I37" s="38" t="s">
        <v>8</v>
      </c>
      <c r="J37" s="4"/>
      <c r="K37" s="50" t="s">
        <v>9</v>
      </c>
      <c r="L37" s="11"/>
      <c r="M37" s="30"/>
      <c r="N37" s="30"/>
      <c r="O37" s="31"/>
    </row>
    <row r="38" spans="1:15">
      <c r="A38" s="18" t="s">
        <v>42</v>
      </c>
      <c r="B38" s="17">
        <v>0.9</v>
      </c>
      <c r="C38" s="17">
        <v>0.7</v>
      </c>
      <c r="D38" s="14">
        <f>IF(C38="","",C38/B38)</f>
        <v>0.77777777777777768</v>
      </c>
      <c r="E38" s="14">
        <f>IF(C38="","",0.9*D38+0.05)</f>
        <v>0.75</v>
      </c>
      <c r="F38" s="19">
        <v>1000</v>
      </c>
      <c r="G38" s="14">
        <f>IF(D38="","",(10*F38)/(B38*43560))</f>
        <v>0.25507601265177021</v>
      </c>
      <c r="H38" s="103">
        <f>IF(D38="","",IF(G38&lt;=2.6,(G38*E38*B38*43560/12),(2.6*E38*B38*43560/12)))</f>
        <v>625.00000000000011</v>
      </c>
      <c r="I38" s="43">
        <f>IF(D38="","",IF(G38&gt;=1,C38,(C38*G38)))</f>
        <v>0.17855320885623913</v>
      </c>
      <c r="J38" s="46">
        <v>0.26</v>
      </c>
      <c r="K38" s="113">
        <f>IF(H38="","",(IF(G38&lt;1,H38*J38,(H38*J38/G38))))</f>
        <v>162.50000000000003</v>
      </c>
      <c r="L38" s="9"/>
      <c r="M38" s="30"/>
      <c r="N38" s="30"/>
      <c r="O38" s="31"/>
    </row>
    <row r="39" spans="1:15">
      <c r="A39" s="18" t="s">
        <v>43</v>
      </c>
      <c r="B39" s="17">
        <v>0.46</v>
      </c>
      <c r="C39" s="17">
        <v>0.4</v>
      </c>
      <c r="D39" s="14">
        <f t="shared" ref="D39:D42" si="13">IF(C39="","",C39/B39)</f>
        <v>0.86956521739130432</v>
      </c>
      <c r="E39" s="14">
        <f t="shared" ref="E39:E42" si="14">IF(C39="","",0.9*D39+0.05)</f>
        <v>0.83260869565217399</v>
      </c>
      <c r="F39" s="19">
        <v>1000</v>
      </c>
      <c r="G39" s="14">
        <f t="shared" ref="G39:G42" si="15">IF(D39="","",(10*F39)/(B39*43560))</f>
        <v>0.49906176388389822</v>
      </c>
      <c r="H39" s="103">
        <f t="shared" ref="H39:H42" si="16">IF(D39="","",IF(G39&lt;=2.6,(G39*E39*B39*43560/12),(2.6*E39*B39*43560/12)))</f>
        <v>693.84057971014499</v>
      </c>
      <c r="I39" s="43">
        <f t="shared" ref="I39:I42" si="17">IF(D39="","",IF(G39&gt;=1,C39,(C39*G39)))</f>
        <v>0.1996247055535593</v>
      </c>
      <c r="J39" s="47"/>
      <c r="K39" s="111">
        <f t="shared" ref="K39:K42" si="18">IF(H39="","",(IF(G39&lt;1,H39*J39,(H39*J39/G39))))</f>
        <v>0</v>
      </c>
      <c r="L39" s="9"/>
      <c r="M39" s="30"/>
      <c r="N39" s="30"/>
      <c r="O39" s="31"/>
    </row>
    <row r="40" spans="1:15">
      <c r="A40" s="18"/>
      <c r="B40" s="17"/>
      <c r="C40" s="17"/>
      <c r="D40" s="14" t="str">
        <f t="shared" si="13"/>
        <v/>
      </c>
      <c r="E40" s="14" t="str">
        <f t="shared" si="14"/>
        <v/>
      </c>
      <c r="F40" s="19"/>
      <c r="G40" s="14" t="str">
        <f t="shared" si="15"/>
        <v/>
      </c>
      <c r="H40" s="103" t="str">
        <f t="shared" si="16"/>
        <v/>
      </c>
      <c r="I40" s="43" t="str">
        <f t="shared" si="17"/>
        <v/>
      </c>
      <c r="J40" s="47"/>
      <c r="K40" s="111" t="str">
        <f t="shared" si="18"/>
        <v/>
      </c>
      <c r="L40" s="9"/>
      <c r="M40" s="30"/>
      <c r="N40" s="30"/>
      <c r="O40" s="31"/>
    </row>
    <row r="41" spans="1:15">
      <c r="A41" s="18"/>
      <c r="B41" s="17"/>
      <c r="C41" s="17"/>
      <c r="D41" s="14" t="str">
        <f t="shared" si="13"/>
        <v/>
      </c>
      <c r="E41" s="14" t="str">
        <f t="shared" si="14"/>
        <v/>
      </c>
      <c r="F41" s="19"/>
      <c r="G41" s="14" t="str">
        <f t="shared" si="15"/>
        <v/>
      </c>
      <c r="H41" s="103" t="str">
        <f t="shared" si="16"/>
        <v/>
      </c>
      <c r="I41" s="43" t="str">
        <f t="shared" si="17"/>
        <v/>
      </c>
      <c r="J41" s="47"/>
      <c r="K41" s="111" t="str">
        <f t="shared" si="18"/>
        <v/>
      </c>
      <c r="L41" s="9"/>
      <c r="M41" s="30"/>
      <c r="N41" s="30"/>
      <c r="O41" s="31"/>
    </row>
    <row r="42" spans="1:15" ht="15.75" thickBot="1">
      <c r="A42" s="20"/>
      <c r="B42" s="21"/>
      <c r="C42" s="21"/>
      <c r="D42" s="24" t="str">
        <f t="shared" si="13"/>
        <v/>
      </c>
      <c r="E42" s="24" t="str">
        <f t="shared" si="14"/>
        <v/>
      </c>
      <c r="F42" s="25"/>
      <c r="G42" s="24" t="str">
        <f t="shared" si="15"/>
        <v/>
      </c>
      <c r="H42" s="104" t="str">
        <f t="shared" si="16"/>
        <v/>
      </c>
      <c r="I42" s="44" t="str">
        <f t="shared" si="17"/>
        <v/>
      </c>
      <c r="J42" s="48"/>
      <c r="K42" s="114" t="str">
        <f t="shared" si="18"/>
        <v/>
      </c>
      <c r="L42" s="9"/>
      <c r="M42" s="30"/>
      <c r="N42" s="30"/>
      <c r="O42" s="31"/>
    </row>
    <row r="43" spans="1:15">
      <c r="A43" s="32"/>
      <c r="B43" s="30"/>
      <c r="C43" s="30"/>
      <c r="D43" s="30"/>
      <c r="E43" s="30"/>
      <c r="F43" s="30"/>
      <c r="G43" s="22" t="s">
        <v>41</v>
      </c>
      <c r="H43" s="101">
        <f>SUM(H38:H42)</f>
        <v>1318.840579710145</v>
      </c>
      <c r="I43" s="53">
        <f>SUM(I38:I42)</f>
        <v>0.37817791440979842</v>
      </c>
      <c r="J43" s="53"/>
      <c r="K43" s="106">
        <f>SUM(K38:K42)</f>
        <v>162.50000000000003</v>
      </c>
      <c r="L43" s="12"/>
      <c r="M43" s="13"/>
      <c r="N43" s="30"/>
      <c r="O43" s="31"/>
    </row>
    <row r="44" spans="1:15" ht="15.75" thickBot="1">
      <c r="A44" s="32"/>
      <c r="B44" s="30"/>
      <c r="C44" s="30"/>
      <c r="D44" s="30"/>
      <c r="E44" s="30"/>
      <c r="F44" s="30"/>
      <c r="G44" s="15"/>
      <c r="H44" s="105" t="s">
        <v>16</v>
      </c>
      <c r="I44" s="16" t="s">
        <v>44</v>
      </c>
      <c r="J44" s="16"/>
      <c r="K44" s="105" t="s">
        <v>44</v>
      </c>
      <c r="L44" s="30"/>
      <c r="M44" s="30"/>
      <c r="N44" s="30"/>
      <c r="O44" s="31"/>
    </row>
    <row r="45" spans="1:15">
      <c r="A45" s="3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/>
    </row>
    <row r="46" spans="1:15">
      <c r="A46" s="32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/>
    </row>
    <row r="47" spans="1:15" ht="18">
      <c r="A47" s="79" t="s">
        <v>45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1"/>
    </row>
    <row r="48" spans="1:15" ht="18">
      <c r="A48" s="79" t="s">
        <v>46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1"/>
    </row>
    <row r="49" spans="1:15" ht="18">
      <c r="A49" s="79" t="s">
        <v>47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1"/>
    </row>
    <row r="50" spans="1:15" ht="18">
      <c r="A50" s="79" t="s">
        <v>32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1"/>
    </row>
    <row r="51" spans="1:15" ht="18">
      <c r="A51" s="79" t="s">
        <v>48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1"/>
    </row>
    <row r="52" spans="1:15">
      <c r="A52" s="79" t="s">
        <v>54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1"/>
    </row>
    <row r="53" spans="1:15" ht="18">
      <c r="A53" s="79" t="s">
        <v>82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1"/>
    </row>
    <row r="54" spans="1:15" ht="15.75" thickBot="1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</row>
    <row r="56" spans="1:15" ht="15.75" thickBot="1"/>
    <row r="57" spans="1:15" ht="18.75" thickBot="1">
      <c r="A57" s="82" t="s">
        <v>63</v>
      </c>
      <c r="B57" s="83"/>
      <c r="C57" s="83"/>
      <c r="D57" s="83"/>
      <c r="E57" s="84"/>
      <c r="F57" s="84"/>
      <c r="G57" s="28"/>
      <c r="H57" s="28"/>
      <c r="I57" s="28"/>
      <c r="J57" s="28"/>
      <c r="K57" s="28"/>
      <c r="L57" s="28"/>
      <c r="M57" s="28"/>
      <c r="N57" s="28"/>
      <c r="O57" s="29"/>
    </row>
    <row r="58" spans="1:15" ht="15.75" thickBot="1">
      <c r="A58" s="5" t="s">
        <v>2</v>
      </c>
      <c r="B58" s="6" t="s">
        <v>3</v>
      </c>
      <c r="C58" s="6" t="s">
        <v>4</v>
      </c>
      <c r="D58" s="6" t="s">
        <v>5</v>
      </c>
      <c r="E58" s="6" t="s">
        <v>17</v>
      </c>
      <c r="F58" s="6" t="s">
        <v>18</v>
      </c>
      <c r="G58" s="6" t="s">
        <v>19</v>
      </c>
      <c r="H58" s="6" t="s">
        <v>20</v>
      </c>
      <c r="I58" s="76" t="s">
        <v>21</v>
      </c>
      <c r="J58" s="76" t="s">
        <v>22</v>
      </c>
      <c r="K58" s="76" t="s">
        <v>23</v>
      </c>
      <c r="L58" s="77" t="s">
        <v>55</v>
      </c>
      <c r="M58" s="10"/>
      <c r="N58" s="30"/>
      <c r="O58" s="31"/>
    </row>
    <row r="59" spans="1:15" ht="90">
      <c r="A59" s="1" t="s">
        <v>64</v>
      </c>
      <c r="B59" s="2" t="s">
        <v>67</v>
      </c>
      <c r="C59" s="2" t="s">
        <v>68</v>
      </c>
      <c r="D59" s="70" t="s">
        <v>0</v>
      </c>
      <c r="E59" s="2" t="s">
        <v>1</v>
      </c>
      <c r="F59" s="2" t="s">
        <v>69</v>
      </c>
      <c r="G59" s="2" t="s">
        <v>70</v>
      </c>
      <c r="H59" s="2" t="s">
        <v>72</v>
      </c>
      <c r="I59" s="51" t="s">
        <v>76</v>
      </c>
      <c r="J59" s="51" t="s">
        <v>77</v>
      </c>
      <c r="K59" s="78" t="s">
        <v>57</v>
      </c>
      <c r="L59" s="75" t="s">
        <v>53</v>
      </c>
      <c r="M59" s="11"/>
      <c r="N59" s="30"/>
      <c r="O59" s="31"/>
    </row>
    <row r="60" spans="1:15" ht="15.75" thickBot="1">
      <c r="A60" s="3"/>
      <c r="B60" s="4" t="s">
        <v>8</v>
      </c>
      <c r="C60" s="4" t="s">
        <v>8</v>
      </c>
      <c r="D60" s="4"/>
      <c r="E60" s="4"/>
      <c r="F60" s="4" t="s">
        <v>71</v>
      </c>
      <c r="G60" s="4" t="s">
        <v>71</v>
      </c>
      <c r="H60" s="4"/>
      <c r="I60" s="4" t="s">
        <v>10</v>
      </c>
      <c r="J60" s="4" t="s">
        <v>9</v>
      </c>
      <c r="K60" s="4"/>
      <c r="L60" s="7" t="s">
        <v>9</v>
      </c>
      <c r="M60" s="11"/>
      <c r="N60" s="30"/>
      <c r="O60" s="31"/>
    </row>
    <row r="61" spans="1:15">
      <c r="A61" s="18" t="s">
        <v>66</v>
      </c>
      <c r="B61" s="17">
        <v>0.1</v>
      </c>
      <c r="C61" s="17">
        <v>0.1</v>
      </c>
      <c r="D61" s="14">
        <f>IF(C61="","",C61/B61)</f>
        <v>1</v>
      </c>
      <c r="E61" s="14">
        <f>IF(C61="","",0.9*D61+0.05)</f>
        <v>0.95000000000000007</v>
      </c>
      <c r="F61" s="19">
        <v>25</v>
      </c>
      <c r="G61" s="71">
        <v>10</v>
      </c>
      <c r="H61" s="72" t="s">
        <v>78</v>
      </c>
      <c r="I61" s="71">
        <v>1</v>
      </c>
      <c r="J61" s="107">
        <f>IF(I61="","",(I61*E61*B61*43560/12))</f>
        <v>344.85000000000008</v>
      </c>
      <c r="K61" s="71">
        <v>0.26</v>
      </c>
      <c r="L61" s="110">
        <f>IF(J61="","",(J61*K61))</f>
        <v>89.66100000000003</v>
      </c>
      <c r="M61" s="41"/>
      <c r="N61" s="30"/>
      <c r="O61" s="31"/>
    </row>
    <row r="62" spans="1:15">
      <c r="A62" s="18"/>
      <c r="B62" s="17"/>
      <c r="C62" s="17"/>
      <c r="D62" s="14" t="str">
        <f t="shared" ref="D62:D65" si="19">IF(C62="","",C62/B62)</f>
        <v/>
      </c>
      <c r="E62" s="14" t="str">
        <f t="shared" ref="E62:E65" si="20">IF(C62="","",0.9*D62+0.05)</f>
        <v/>
      </c>
      <c r="F62" s="19"/>
      <c r="G62" s="71"/>
      <c r="H62" s="72"/>
      <c r="I62" s="47"/>
      <c r="J62" s="108" t="str">
        <f t="shared" ref="J62:J65" si="21">IF(I62="","",(I62*E62*B62*43560/12))</f>
        <v/>
      </c>
      <c r="K62" s="47"/>
      <c r="L62" s="111"/>
      <c r="M62" s="41"/>
      <c r="N62" s="30"/>
      <c r="O62" s="31"/>
    </row>
    <row r="63" spans="1:15">
      <c r="A63" s="18"/>
      <c r="B63" s="17"/>
      <c r="C63" s="17"/>
      <c r="D63" s="14" t="str">
        <f t="shared" si="19"/>
        <v/>
      </c>
      <c r="E63" s="14" t="str">
        <f t="shared" si="20"/>
        <v/>
      </c>
      <c r="F63" s="19"/>
      <c r="G63" s="71"/>
      <c r="H63" s="72"/>
      <c r="I63" s="47"/>
      <c r="J63" s="108" t="str">
        <f t="shared" si="21"/>
        <v/>
      </c>
      <c r="K63" s="47"/>
      <c r="L63" s="111"/>
      <c r="M63" s="41"/>
      <c r="N63" s="30"/>
      <c r="O63" s="31"/>
    </row>
    <row r="64" spans="1:15">
      <c r="A64" s="18"/>
      <c r="B64" s="17"/>
      <c r="C64" s="17"/>
      <c r="D64" s="14" t="str">
        <f t="shared" si="19"/>
        <v/>
      </c>
      <c r="E64" s="14" t="str">
        <f t="shared" si="20"/>
        <v/>
      </c>
      <c r="F64" s="19"/>
      <c r="G64" s="71"/>
      <c r="H64" s="72"/>
      <c r="I64" s="47"/>
      <c r="J64" s="108" t="str">
        <f t="shared" si="21"/>
        <v/>
      </c>
      <c r="K64" s="47"/>
      <c r="L64" s="111"/>
      <c r="M64" s="41"/>
      <c r="N64" s="30"/>
      <c r="O64" s="31"/>
    </row>
    <row r="65" spans="1:15" ht="15.75" thickBot="1">
      <c r="A65" s="20"/>
      <c r="B65" s="21"/>
      <c r="C65" s="21"/>
      <c r="D65" s="24" t="str">
        <f t="shared" si="19"/>
        <v/>
      </c>
      <c r="E65" s="24" t="str">
        <f t="shared" si="20"/>
        <v/>
      </c>
      <c r="F65" s="25"/>
      <c r="G65" s="48"/>
      <c r="H65" s="73"/>
      <c r="I65" s="74"/>
      <c r="J65" s="109" t="str">
        <f t="shared" si="21"/>
        <v/>
      </c>
      <c r="K65" s="74"/>
      <c r="L65" s="112"/>
      <c r="M65" s="41"/>
      <c r="N65" s="30"/>
      <c r="O65" s="31"/>
    </row>
    <row r="66" spans="1:15">
      <c r="A66" s="32"/>
      <c r="B66" s="30"/>
      <c r="C66" s="30"/>
      <c r="D66" s="30"/>
      <c r="E66" s="30"/>
      <c r="F66" s="30"/>
      <c r="G66" s="22" t="s">
        <v>41</v>
      </c>
      <c r="H66" s="23"/>
      <c r="I66" s="53"/>
      <c r="J66" s="106">
        <f>SUM(J61:J65)</f>
        <v>344.85000000000008</v>
      </c>
      <c r="K66" s="53"/>
      <c r="L66" s="106">
        <f>SUM(L61:L65)</f>
        <v>89.66100000000003</v>
      </c>
      <c r="M66" s="39"/>
      <c r="N66" s="30"/>
      <c r="O66" s="31"/>
    </row>
    <row r="67" spans="1:15" ht="15.75" thickBot="1">
      <c r="A67" s="32"/>
      <c r="B67" s="30"/>
      <c r="C67" s="30"/>
      <c r="D67" s="30"/>
      <c r="E67" s="30"/>
      <c r="F67" s="30"/>
      <c r="G67" s="15"/>
      <c r="H67" s="16"/>
      <c r="I67" s="16"/>
      <c r="J67" s="105" t="s">
        <v>16</v>
      </c>
      <c r="K67" s="16"/>
      <c r="L67" s="105" t="s">
        <v>16</v>
      </c>
      <c r="M67" s="40"/>
      <c r="N67" s="30"/>
      <c r="O67" s="31"/>
    </row>
    <row r="68" spans="1:15">
      <c r="A68" s="32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/>
    </row>
    <row r="69" spans="1:15">
      <c r="A69" s="32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</row>
    <row r="70" spans="1:15" ht="15.75" thickBot="1">
      <c r="A70" s="3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</row>
  </sheetData>
  <mergeCells count="24">
    <mergeCell ref="A1:O2"/>
    <mergeCell ref="A27:O27"/>
    <mergeCell ref="A49:O49"/>
    <mergeCell ref="A50:O50"/>
    <mergeCell ref="A51:O51"/>
    <mergeCell ref="A34:F34"/>
    <mergeCell ref="A47:O47"/>
    <mergeCell ref="A48:O48"/>
    <mergeCell ref="A4:H4"/>
    <mergeCell ref="A23:O23"/>
    <mergeCell ref="A24:O24"/>
    <mergeCell ref="A25:O25"/>
    <mergeCell ref="A26:O26"/>
    <mergeCell ref="A22:O22"/>
    <mergeCell ref="A18:O18"/>
    <mergeCell ref="A19:O19"/>
    <mergeCell ref="A20:O20"/>
    <mergeCell ref="A21:O21"/>
    <mergeCell ref="A57:F57"/>
    <mergeCell ref="A52:O52"/>
    <mergeCell ref="A53:O53"/>
    <mergeCell ref="A28:O28"/>
    <mergeCell ref="A29:O29"/>
    <mergeCell ref="A30:O30"/>
  </mergeCell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4F8B4A45E39488D8F4C13960E0489" ma:contentTypeVersion="12" ma:contentTypeDescription="Create a new document." ma:contentTypeScope="" ma:versionID="385382f8ee95162f68de084230a324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C6B5F-A0B2-41A5-A41D-ADFD2DD5BC06}"/>
</file>

<file path=customXml/itemProps2.xml><?xml version="1.0" encoding="utf-8"?>
<ds:datastoreItem xmlns:ds="http://schemas.openxmlformats.org/officeDocument/2006/customXml" ds:itemID="{A664D82F-9E47-410A-8D16-1F8D32DE6D9D}"/>
</file>

<file path=customXml/itemProps3.xml><?xml version="1.0" encoding="utf-8"?>
<ds:datastoreItem xmlns:ds="http://schemas.openxmlformats.org/officeDocument/2006/customXml" ds:itemID="{6D590BE5-4B26-45D4-9F5E-8559A6089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amalcolm</dc:creator>
  <cp:lastModifiedBy>amalcolm</cp:lastModifiedBy>
  <cp:lastPrinted>2017-11-26T23:03:23Z</cp:lastPrinted>
  <dcterms:created xsi:type="dcterms:W3CDTF">2017-11-26T22:29:52Z</dcterms:created>
  <dcterms:modified xsi:type="dcterms:W3CDTF">2018-10-17T14:15:42Z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0x0101000744F8B4A45E39488D8F4C13960E0489</vt:lpwstr>
  </property>
</Properties>
</file>